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acificorp.us\DFS\PDXCO\PSB1\SHARED\FILINGS\CA\2018 Dockets\R.18-10-007 Wildfire Mitigation Plans\2-7-20 Plan\Working docs\PDFs\"/>
    </mc:Choice>
  </mc:AlternateContent>
  <bookViews>
    <workbookView xWindow="0" yWindow="0" windowWidth="2160" windowHeight="0"/>
  </bookViews>
  <sheets>
    <sheet name="Cover Sheet" sheetId="40" r:id="rId1"/>
    <sheet name="Table 1" sheetId="4" r:id="rId2"/>
    <sheet name="Table 2" sheetId="5" r:id="rId3"/>
    <sheet name="Table 3" sheetId="6" r:id="rId4"/>
    <sheet name="Table 4" sheetId="7" r:id="rId5"/>
    <sheet name="Table 5" sheetId="8" r:id="rId6"/>
    <sheet name="Table 6" sheetId="9" r:id="rId7"/>
    <sheet name="Table 7" sheetId="10" r:id="rId8"/>
    <sheet name="Table 8" sheetId="11" r:id="rId9"/>
    <sheet name="Table 9" sheetId="12" r:id="rId10"/>
    <sheet name="Table 10" sheetId="13" r:id="rId11"/>
    <sheet name="Table 11a-d" sheetId="14" r:id="rId12"/>
    <sheet name="Table 12" sheetId="15" r:id="rId13"/>
    <sheet name="Table 13" sheetId="16" r:id="rId14"/>
    <sheet name="Table 14" sheetId="17" r:id="rId15"/>
    <sheet name="Table 15" sheetId="18" r:id="rId16"/>
    <sheet name="Table 16" sheetId="19" r:id="rId17"/>
    <sheet name="Table 17" sheetId="20" r:id="rId18"/>
    <sheet name="Table 18-18d" sheetId="39" r:id="rId19"/>
    <sheet name="Table 19" sheetId="23" r:id="rId20"/>
    <sheet name="Table 20" sheetId="24" r:id="rId21"/>
    <sheet name="Table 21" sheetId="25" r:id="rId22"/>
    <sheet name="Table 22" sheetId="27" r:id="rId23"/>
    <sheet name="Table 23" sheetId="28" r:id="rId24"/>
    <sheet name="Table 24" sheetId="29" r:id="rId25"/>
    <sheet name="Table 25" sheetId="30" r:id="rId26"/>
    <sheet name="Table 26" sheetId="31" r:id="rId27"/>
    <sheet name="Table 27" sheetId="32" r:id="rId28"/>
    <sheet name="Table 28" sheetId="33" r:id="rId29"/>
    <sheet name="Table 29" sheetId="34" r:id="rId30"/>
    <sheet name="Table 30" sheetId="35" r:id="rId31"/>
    <sheet name="Table 31" sheetId="37" r:id="rId32"/>
  </sheets>
  <externalReferences>
    <externalReference r:id="rId33"/>
  </externalReferences>
  <definedNames>
    <definedName name="_ftn1" localSheetId="4">'Table 4'!$B$27</definedName>
    <definedName name="_ftnref1" localSheetId="4">'Table 4'!$H$8</definedName>
    <definedName name="_GoBack" localSheetId="4">'Table 4'!$F$16</definedName>
    <definedName name="_Toc28087895" localSheetId="13">'Table 13'!$C$7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30" l="1"/>
  <c r="E26" i="30"/>
  <c r="E24" i="30"/>
  <c r="E23" i="30"/>
  <c r="E20" i="30"/>
  <c r="E19" i="30"/>
  <c r="E18" i="30"/>
  <c r="E17" i="30"/>
  <c r="D27" i="30"/>
  <c r="D21" i="30"/>
  <c r="E133" i="30"/>
  <c r="E134" i="30"/>
  <c r="E132" i="30"/>
  <c r="E131" i="30"/>
  <c r="E126" i="28"/>
  <c r="P81" i="14"/>
  <c r="P82" i="14"/>
  <c r="P83" i="14"/>
  <c r="P84" i="14"/>
  <c r="P85" i="14"/>
  <c r="P86" i="14"/>
  <c r="P87" i="14"/>
  <c r="P88" i="14"/>
  <c r="P89" i="14"/>
  <c r="P90" i="14"/>
  <c r="P91" i="14"/>
  <c r="P92" i="14"/>
  <c r="P93" i="14"/>
  <c r="P94" i="14"/>
  <c r="P95" i="14"/>
  <c r="P96" i="14"/>
  <c r="P97" i="14"/>
  <c r="P98" i="14"/>
  <c r="P99" i="14"/>
  <c r="P100" i="14"/>
  <c r="P101" i="14"/>
  <c r="P102" i="14"/>
  <c r="P103" i="14"/>
  <c r="P104" i="14"/>
  <c r="P80" i="14"/>
  <c r="P46" i="14"/>
  <c r="P47" i="14"/>
  <c r="P48" i="14"/>
  <c r="P49" i="14"/>
  <c r="P50" i="14"/>
  <c r="P51" i="14"/>
  <c r="P52" i="14"/>
  <c r="P53" i="14"/>
  <c r="P54" i="14"/>
  <c r="P55" i="14"/>
  <c r="P56" i="14"/>
  <c r="P57" i="14"/>
  <c r="P58" i="14"/>
  <c r="P59" i="14"/>
  <c r="P60" i="14"/>
  <c r="P61" i="14"/>
  <c r="P62" i="14"/>
  <c r="P63" i="14"/>
  <c r="P64" i="14"/>
  <c r="P65" i="14"/>
  <c r="P66" i="14"/>
  <c r="P67" i="14"/>
  <c r="P68" i="14"/>
  <c r="P69" i="14"/>
  <c r="P45" i="14"/>
  <c r="P117" i="14"/>
  <c r="P118" i="14"/>
  <c r="P119" i="14"/>
  <c r="P120" i="14"/>
  <c r="P121" i="14"/>
  <c r="P122" i="14"/>
  <c r="P123" i="14"/>
  <c r="P124" i="14"/>
  <c r="P125" i="14"/>
  <c r="P126" i="14"/>
  <c r="P127" i="14"/>
  <c r="P128" i="14"/>
  <c r="P129" i="14"/>
  <c r="P130" i="14"/>
  <c r="P131" i="14"/>
  <c r="P132" i="14"/>
  <c r="P133" i="14"/>
  <c r="P134" i="14"/>
  <c r="P135" i="14"/>
  <c r="P136" i="14"/>
  <c r="P137" i="14"/>
  <c r="P138" i="14"/>
  <c r="P139" i="14"/>
  <c r="P140" i="14"/>
  <c r="P116" i="14"/>
  <c r="E21" i="30" l="1"/>
  <c r="E27" i="30"/>
  <c r="J117" i="14" l="1"/>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16" i="14"/>
  <c r="L116" i="14"/>
  <c r="M116" i="14"/>
  <c r="N116" i="14"/>
  <c r="O116" i="14"/>
  <c r="L117" i="14"/>
  <c r="M117" i="14"/>
  <c r="N117" i="14"/>
  <c r="O117" i="14"/>
  <c r="L118" i="14"/>
  <c r="M118" i="14"/>
  <c r="N118" i="14"/>
  <c r="O118" i="14"/>
  <c r="L119" i="14"/>
  <c r="M119" i="14"/>
  <c r="N119" i="14"/>
  <c r="O119" i="14"/>
  <c r="L120" i="14"/>
  <c r="M120" i="14"/>
  <c r="N120" i="14"/>
  <c r="O120" i="14"/>
  <c r="L121" i="14"/>
  <c r="M121" i="14"/>
  <c r="N121" i="14"/>
  <c r="O121" i="14"/>
  <c r="L122" i="14"/>
  <c r="M122" i="14"/>
  <c r="N122" i="14"/>
  <c r="O122" i="14"/>
  <c r="L123" i="14"/>
  <c r="M123" i="14"/>
  <c r="N123" i="14"/>
  <c r="O123" i="14"/>
  <c r="L124" i="14"/>
  <c r="M124" i="14"/>
  <c r="N124" i="14"/>
  <c r="O124" i="14"/>
  <c r="L125" i="14"/>
  <c r="M125" i="14"/>
  <c r="N125" i="14"/>
  <c r="O125" i="14"/>
  <c r="L126" i="14"/>
  <c r="M126" i="14"/>
  <c r="N126" i="14"/>
  <c r="O126" i="14"/>
  <c r="L127" i="14"/>
  <c r="M127" i="14"/>
  <c r="N127" i="14"/>
  <c r="O127" i="14"/>
  <c r="L128" i="14"/>
  <c r="M128" i="14"/>
  <c r="N128" i="14"/>
  <c r="O128" i="14"/>
  <c r="L129" i="14"/>
  <c r="M129" i="14"/>
  <c r="N129" i="14"/>
  <c r="O129" i="14"/>
  <c r="L130" i="14"/>
  <c r="M130" i="14"/>
  <c r="N130" i="14"/>
  <c r="O130" i="14"/>
  <c r="L131" i="14"/>
  <c r="M131" i="14"/>
  <c r="N131" i="14"/>
  <c r="O131" i="14"/>
  <c r="L132" i="14"/>
  <c r="M132" i="14"/>
  <c r="N132" i="14"/>
  <c r="O132" i="14"/>
  <c r="L133" i="14"/>
  <c r="M133" i="14"/>
  <c r="N133" i="14"/>
  <c r="O133" i="14"/>
  <c r="L134" i="14"/>
  <c r="M134" i="14"/>
  <c r="N134" i="14"/>
  <c r="O134" i="14"/>
  <c r="L135" i="14"/>
  <c r="M135" i="14"/>
  <c r="N135" i="14"/>
  <c r="O135" i="14"/>
  <c r="L136" i="14"/>
  <c r="M136" i="14"/>
  <c r="N136" i="14"/>
  <c r="O136" i="14"/>
  <c r="L137" i="14"/>
  <c r="M137" i="14"/>
  <c r="N137" i="14"/>
  <c r="O137" i="14"/>
  <c r="L138" i="14"/>
  <c r="M138" i="14"/>
  <c r="N138" i="14"/>
  <c r="O138" i="14"/>
  <c r="L139" i="14"/>
  <c r="M139" i="14"/>
  <c r="N139" i="14"/>
  <c r="O139" i="14"/>
  <c r="L140" i="14"/>
  <c r="M140" i="14"/>
  <c r="N140" i="14"/>
  <c r="O140" i="14"/>
  <c r="K117" i="14"/>
  <c r="K118" i="14"/>
  <c r="K119" i="14"/>
  <c r="K120" i="14"/>
  <c r="K121" i="14"/>
  <c r="K122" i="14"/>
  <c r="K123" i="14"/>
  <c r="K124" i="14"/>
  <c r="K125" i="14"/>
  <c r="K126" i="14"/>
  <c r="K127" i="14"/>
  <c r="K128" i="14"/>
  <c r="K129" i="14"/>
  <c r="K130" i="14"/>
  <c r="K131" i="14"/>
  <c r="K132" i="14"/>
  <c r="K133" i="14"/>
  <c r="K134" i="14"/>
  <c r="K135" i="14"/>
  <c r="K136" i="14"/>
  <c r="K137" i="14"/>
  <c r="K138" i="14"/>
  <c r="K139" i="14"/>
  <c r="K140" i="14"/>
  <c r="K116" i="14"/>
  <c r="V117" i="14"/>
  <c r="V118" i="14"/>
  <c r="V119" i="14"/>
  <c r="V120" i="14"/>
  <c r="V121" i="14"/>
  <c r="V122" i="14"/>
  <c r="V123" i="14"/>
  <c r="V124" i="14"/>
  <c r="V125" i="14"/>
  <c r="V126" i="14"/>
  <c r="V127" i="14"/>
  <c r="V128" i="14"/>
  <c r="V129" i="14"/>
  <c r="V130" i="14"/>
  <c r="V131" i="14"/>
  <c r="V132" i="14"/>
  <c r="V133" i="14"/>
  <c r="V134" i="14"/>
  <c r="V135" i="14"/>
  <c r="V136" i="14"/>
  <c r="V137" i="14"/>
  <c r="V138" i="14"/>
  <c r="V139" i="14"/>
  <c r="V140" i="14"/>
  <c r="V116" i="14"/>
  <c r="V81" i="14"/>
  <c r="V82" i="14"/>
  <c r="V83" i="14"/>
  <c r="V84" i="14"/>
  <c r="V85" i="14"/>
  <c r="V86" i="14"/>
  <c r="V87" i="14"/>
  <c r="V88" i="14"/>
  <c r="V89" i="14"/>
  <c r="V90" i="14"/>
  <c r="V91" i="14"/>
  <c r="V92" i="14"/>
  <c r="V93" i="14"/>
  <c r="V94" i="14"/>
  <c r="V95" i="14"/>
  <c r="V96" i="14"/>
  <c r="V97" i="14"/>
  <c r="V98" i="14"/>
  <c r="V99" i="14"/>
  <c r="V100" i="14"/>
  <c r="V101" i="14"/>
  <c r="V102" i="14"/>
  <c r="V103" i="14"/>
  <c r="V104" i="14"/>
  <c r="V80" i="14"/>
  <c r="L81" i="14"/>
  <c r="M81" i="14"/>
  <c r="N81" i="14"/>
  <c r="O81" i="14"/>
  <c r="L82" i="14"/>
  <c r="M82" i="14"/>
  <c r="N82" i="14"/>
  <c r="O82" i="14"/>
  <c r="L83" i="14"/>
  <c r="M83" i="14"/>
  <c r="N83" i="14"/>
  <c r="O83" i="14"/>
  <c r="L84" i="14"/>
  <c r="M84" i="14"/>
  <c r="N84" i="14"/>
  <c r="O84" i="14"/>
  <c r="L85" i="14"/>
  <c r="M85" i="14"/>
  <c r="N85" i="14"/>
  <c r="O85" i="14"/>
  <c r="L86" i="14"/>
  <c r="M86" i="14"/>
  <c r="N86" i="14"/>
  <c r="O86" i="14"/>
  <c r="L87" i="14"/>
  <c r="M87" i="14"/>
  <c r="N87" i="14"/>
  <c r="O87" i="14"/>
  <c r="L88" i="14"/>
  <c r="M88" i="14"/>
  <c r="N88" i="14"/>
  <c r="O88" i="14"/>
  <c r="L89" i="14"/>
  <c r="M89" i="14"/>
  <c r="N89" i="14"/>
  <c r="O89" i="14"/>
  <c r="L90" i="14"/>
  <c r="M90" i="14"/>
  <c r="N90" i="14"/>
  <c r="O90" i="14"/>
  <c r="L91" i="14"/>
  <c r="M91" i="14"/>
  <c r="N91" i="14"/>
  <c r="O91" i="14"/>
  <c r="L92" i="14"/>
  <c r="M92" i="14"/>
  <c r="N92" i="14"/>
  <c r="O92" i="14"/>
  <c r="L93" i="14"/>
  <c r="M93" i="14"/>
  <c r="N93" i="14"/>
  <c r="O93" i="14"/>
  <c r="L94" i="14"/>
  <c r="M94" i="14"/>
  <c r="N94" i="14"/>
  <c r="O94" i="14"/>
  <c r="L95" i="14"/>
  <c r="M95" i="14"/>
  <c r="N95" i="14"/>
  <c r="O95" i="14"/>
  <c r="L96" i="14"/>
  <c r="M96" i="14"/>
  <c r="N96" i="14"/>
  <c r="O96" i="14"/>
  <c r="L97" i="14"/>
  <c r="M97" i="14"/>
  <c r="N97" i="14"/>
  <c r="O97" i="14"/>
  <c r="L98" i="14"/>
  <c r="M98" i="14"/>
  <c r="N98" i="14"/>
  <c r="O98" i="14"/>
  <c r="L99" i="14"/>
  <c r="M99" i="14"/>
  <c r="N99" i="14"/>
  <c r="O99" i="14"/>
  <c r="L100" i="14"/>
  <c r="M100" i="14"/>
  <c r="N100" i="14"/>
  <c r="O100" i="14"/>
  <c r="L101" i="14"/>
  <c r="M101" i="14"/>
  <c r="N101" i="14"/>
  <c r="O101" i="14"/>
  <c r="L102" i="14"/>
  <c r="M102" i="14"/>
  <c r="N102" i="14"/>
  <c r="O102" i="14"/>
  <c r="L103" i="14"/>
  <c r="M103" i="14"/>
  <c r="N103" i="14"/>
  <c r="O103" i="14"/>
  <c r="L104" i="14"/>
  <c r="M104" i="14"/>
  <c r="N104" i="14"/>
  <c r="O104" i="14"/>
  <c r="L80" i="14"/>
  <c r="M80" i="14"/>
  <c r="N80" i="14"/>
  <c r="O80" i="14"/>
  <c r="J81" i="14"/>
  <c r="K81" i="14"/>
  <c r="J82" i="14"/>
  <c r="K82" i="14"/>
  <c r="J83" i="14"/>
  <c r="K83" i="14"/>
  <c r="J84" i="14"/>
  <c r="K84" i="14"/>
  <c r="J85" i="14"/>
  <c r="K85" i="14"/>
  <c r="J86" i="14"/>
  <c r="K86" i="14"/>
  <c r="J87" i="14"/>
  <c r="K87" i="14"/>
  <c r="J88" i="14"/>
  <c r="K88" i="14"/>
  <c r="J89" i="14"/>
  <c r="K89" i="14"/>
  <c r="J90" i="14"/>
  <c r="K90" i="14"/>
  <c r="J91" i="14"/>
  <c r="K91" i="14"/>
  <c r="J92" i="14"/>
  <c r="K92" i="14"/>
  <c r="J93" i="14"/>
  <c r="K93" i="14"/>
  <c r="J94" i="14"/>
  <c r="K94" i="14"/>
  <c r="J95" i="14"/>
  <c r="K95" i="14"/>
  <c r="J96" i="14"/>
  <c r="K96" i="14"/>
  <c r="J97" i="14"/>
  <c r="K97" i="14"/>
  <c r="J98" i="14"/>
  <c r="K98" i="14"/>
  <c r="J99" i="14"/>
  <c r="K99" i="14"/>
  <c r="J100" i="14"/>
  <c r="K100" i="14"/>
  <c r="J101" i="14"/>
  <c r="K101" i="14"/>
  <c r="J102" i="14"/>
  <c r="K102" i="14"/>
  <c r="J103" i="14"/>
  <c r="K103" i="14"/>
  <c r="J104" i="14"/>
  <c r="K104" i="14"/>
  <c r="K80" i="14"/>
  <c r="J80" i="14"/>
  <c r="L45" i="14"/>
  <c r="M45" i="14"/>
  <c r="N45" i="14"/>
  <c r="O45" i="14"/>
  <c r="L46" i="14"/>
  <c r="M46" i="14"/>
  <c r="N46" i="14"/>
  <c r="O46" i="14"/>
  <c r="L47" i="14"/>
  <c r="M47" i="14"/>
  <c r="N47" i="14"/>
  <c r="O47" i="14"/>
  <c r="L48" i="14"/>
  <c r="M48" i="14"/>
  <c r="N48" i="14"/>
  <c r="O48" i="14"/>
  <c r="L49" i="14"/>
  <c r="M49" i="14"/>
  <c r="N49" i="14"/>
  <c r="O49" i="14"/>
  <c r="L50" i="14"/>
  <c r="M50" i="14"/>
  <c r="N50" i="14"/>
  <c r="O50" i="14"/>
  <c r="L51" i="14"/>
  <c r="M51" i="14"/>
  <c r="N51" i="14"/>
  <c r="O51" i="14"/>
  <c r="L52" i="14"/>
  <c r="M52" i="14"/>
  <c r="N52" i="14"/>
  <c r="O52" i="14"/>
  <c r="L53" i="14"/>
  <c r="M53" i="14"/>
  <c r="N53" i="14"/>
  <c r="O53" i="14"/>
  <c r="L54" i="14"/>
  <c r="M54" i="14"/>
  <c r="N54" i="14"/>
  <c r="O54" i="14"/>
  <c r="L55" i="14"/>
  <c r="M55" i="14"/>
  <c r="N55" i="14"/>
  <c r="O55" i="14"/>
  <c r="L56" i="14"/>
  <c r="M56" i="14"/>
  <c r="N56" i="14"/>
  <c r="O56" i="14"/>
  <c r="L57" i="14"/>
  <c r="M57" i="14"/>
  <c r="N57" i="14"/>
  <c r="O57" i="14"/>
  <c r="L58" i="14"/>
  <c r="M58" i="14"/>
  <c r="N58" i="14"/>
  <c r="O58" i="14"/>
  <c r="L59" i="14"/>
  <c r="M59" i="14"/>
  <c r="N59" i="14"/>
  <c r="O59" i="14"/>
  <c r="L60" i="14"/>
  <c r="M60" i="14"/>
  <c r="N60" i="14"/>
  <c r="O60" i="14"/>
  <c r="L61" i="14"/>
  <c r="M61" i="14"/>
  <c r="N61" i="14"/>
  <c r="O61" i="14"/>
  <c r="L62" i="14"/>
  <c r="M62" i="14"/>
  <c r="N62" i="14"/>
  <c r="O62" i="14"/>
  <c r="L63" i="14"/>
  <c r="M63" i="14"/>
  <c r="N63" i="14"/>
  <c r="O63" i="14"/>
  <c r="L64" i="14"/>
  <c r="M64" i="14"/>
  <c r="N64" i="14"/>
  <c r="O64" i="14"/>
  <c r="L65" i="14"/>
  <c r="M65" i="14"/>
  <c r="N65" i="14"/>
  <c r="O65" i="14"/>
  <c r="L66" i="14"/>
  <c r="M66" i="14"/>
  <c r="N66" i="14"/>
  <c r="O66" i="14"/>
  <c r="L67" i="14"/>
  <c r="M67" i="14"/>
  <c r="N67" i="14"/>
  <c r="O67" i="14"/>
  <c r="L68" i="14"/>
  <c r="M68" i="14"/>
  <c r="N68" i="14"/>
  <c r="O68" i="14"/>
  <c r="L69" i="14"/>
  <c r="M69" i="14"/>
  <c r="N69" i="14"/>
  <c r="O69" i="14"/>
  <c r="K46" i="14"/>
  <c r="K47" i="14"/>
  <c r="K48" i="14"/>
  <c r="K49" i="14"/>
  <c r="K50" i="14"/>
  <c r="K51" i="14"/>
  <c r="K52" i="14"/>
  <c r="K53" i="14"/>
  <c r="K54" i="14"/>
  <c r="K55" i="14"/>
  <c r="K56" i="14"/>
  <c r="K57" i="14"/>
  <c r="K58" i="14"/>
  <c r="K59" i="14"/>
  <c r="K60" i="14"/>
  <c r="K61" i="14"/>
  <c r="K62" i="14"/>
  <c r="K63" i="14"/>
  <c r="K64" i="14"/>
  <c r="K65" i="14"/>
  <c r="K66" i="14"/>
  <c r="K67" i="14"/>
  <c r="K68" i="14"/>
  <c r="K69" i="14"/>
  <c r="V46" i="14"/>
  <c r="V47" i="14"/>
  <c r="V48" i="14"/>
  <c r="V49" i="14"/>
  <c r="V50" i="14"/>
  <c r="V51" i="14"/>
  <c r="V52" i="14"/>
  <c r="V53" i="14"/>
  <c r="V54" i="14"/>
  <c r="V55" i="14"/>
  <c r="V56" i="14"/>
  <c r="V57" i="14"/>
  <c r="V58" i="14"/>
  <c r="V59" i="14"/>
  <c r="V60" i="14"/>
  <c r="V61" i="14"/>
  <c r="V62" i="14"/>
  <c r="V63" i="14"/>
  <c r="V64" i="14"/>
  <c r="V65" i="14"/>
  <c r="V66" i="14"/>
  <c r="V67" i="14"/>
  <c r="V68" i="14"/>
  <c r="V69" i="14"/>
  <c r="V45" i="14"/>
  <c r="J46" i="14"/>
  <c r="J47" i="14"/>
  <c r="J48" i="14"/>
  <c r="J49" i="14"/>
  <c r="J50" i="14"/>
  <c r="J51" i="14"/>
  <c r="J52" i="14"/>
  <c r="J53" i="14"/>
  <c r="J54" i="14"/>
  <c r="J55" i="14"/>
  <c r="J56" i="14"/>
  <c r="J57" i="14"/>
  <c r="J58" i="14"/>
  <c r="J59" i="14"/>
  <c r="J60" i="14"/>
  <c r="J61" i="14"/>
  <c r="J62" i="14"/>
  <c r="J63" i="14"/>
  <c r="J64" i="14"/>
  <c r="J65" i="14"/>
  <c r="J66" i="14"/>
  <c r="J67" i="14"/>
  <c r="J68" i="14"/>
  <c r="J69" i="14"/>
  <c r="J45" i="14"/>
  <c r="K45" i="14"/>
  <c r="L9" i="14"/>
  <c r="M9" i="14"/>
  <c r="N9" i="14"/>
  <c r="O9" i="14"/>
  <c r="L10" i="14"/>
  <c r="M10" i="14"/>
  <c r="N10" i="14"/>
  <c r="O10" i="14"/>
  <c r="L11" i="14"/>
  <c r="M11" i="14"/>
  <c r="N11" i="14"/>
  <c r="O11" i="14"/>
  <c r="L12" i="14"/>
  <c r="M12" i="14"/>
  <c r="N12" i="14"/>
  <c r="O12" i="14"/>
  <c r="L13" i="14"/>
  <c r="M13" i="14"/>
  <c r="N13" i="14"/>
  <c r="O13" i="14"/>
  <c r="L14" i="14"/>
  <c r="M14" i="14"/>
  <c r="N14" i="14"/>
  <c r="O14" i="14"/>
  <c r="L15" i="14"/>
  <c r="M15" i="14"/>
  <c r="N15" i="14"/>
  <c r="O15" i="14"/>
  <c r="L16" i="14"/>
  <c r="M16" i="14"/>
  <c r="N16" i="14"/>
  <c r="O16" i="14"/>
  <c r="L17" i="14"/>
  <c r="M17" i="14"/>
  <c r="N17" i="14"/>
  <c r="O17" i="14"/>
  <c r="L18" i="14"/>
  <c r="M18" i="14"/>
  <c r="N18" i="14"/>
  <c r="O18" i="14"/>
  <c r="L19" i="14"/>
  <c r="M19" i="14"/>
  <c r="N19" i="14"/>
  <c r="O19" i="14"/>
  <c r="L20" i="14"/>
  <c r="M20" i="14"/>
  <c r="N20" i="14"/>
  <c r="O20" i="14"/>
  <c r="L21" i="14"/>
  <c r="M21" i="14"/>
  <c r="N21" i="14"/>
  <c r="O21" i="14"/>
  <c r="L22" i="14"/>
  <c r="M22" i="14"/>
  <c r="N22" i="14"/>
  <c r="O22" i="14"/>
  <c r="L23" i="14"/>
  <c r="M23" i="14"/>
  <c r="N23" i="14"/>
  <c r="O23" i="14"/>
  <c r="L24" i="14"/>
  <c r="M24" i="14"/>
  <c r="N24" i="14"/>
  <c r="O24" i="14"/>
  <c r="L25" i="14"/>
  <c r="M25" i="14"/>
  <c r="N25" i="14"/>
  <c r="O25" i="14"/>
  <c r="L26" i="14"/>
  <c r="M26" i="14"/>
  <c r="N26" i="14"/>
  <c r="O26" i="14"/>
  <c r="L27" i="14"/>
  <c r="M27" i="14"/>
  <c r="N27" i="14"/>
  <c r="O27" i="14"/>
  <c r="L28" i="14"/>
  <c r="M28" i="14"/>
  <c r="N28" i="14"/>
  <c r="O28" i="14"/>
  <c r="L29" i="14"/>
  <c r="M29" i="14"/>
  <c r="N29" i="14"/>
  <c r="O29" i="14"/>
  <c r="L30" i="14"/>
  <c r="M30" i="14"/>
  <c r="N30" i="14"/>
  <c r="O30" i="14"/>
  <c r="L31" i="14"/>
  <c r="M31" i="14"/>
  <c r="N31" i="14"/>
  <c r="O31" i="14"/>
  <c r="L32" i="14"/>
  <c r="M32" i="14"/>
  <c r="N32" i="14"/>
  <c r="O32" i="14"/>
  <c r="L33" i="14"/>
  <c r="M33" i="14"/>
  <c r="N33" i="14"/>
  <c r="O33" i="14"/>
  <c r="K10" i="14"/>
  <c r="K11" i="14"/>
  <c r="K12" i="14"/>
  <c r="K13" i="14"/>
  <c r="K14" i="14"/>
  <c r="K15" i="14"/>
  <c r="K16" i="14"/>
  <c r="K17" i="14"/>
  <c r="K18" i="14"/>
  <c r="K19" i="14"/>
  <c r="K20" i="14"/>
  <c r="K21" i="14"/>
  <c r="K22" i="14"/>
  <c r="K23" i="14"/>
  <c r="K24" i="14"/>
  <c r="K25" i="14"/>
  <c r="K26" i="14"/>
  <c r="K27" i="14"/>
  <c r="K28" i="14"/>
  <c r="K29" i="14"/>
  <c r="K30" i="14"/>
  <c r="K31" i="14"/>
  <c r="K32" i="14"/>
  <c r="K33" i="14"/>
  <c r="K9" i="14"/>
  <c r="P10" i="14"/>
  <c r="P11" i="14"/>
  <c r="P15" i="14"/>
  <c r="P18" i="14"/>
  <c r="P19" i="14"/>
  <c r="P22" i="14"/>
  <c r="P23" i="14"/>
  <c r="P26" i="14"/>
  <c r="P27" i="14"/>
  <c r="P31" i="14"/>
  <c r="V10" i="14"/>
  <c r="V11" i="14"/>
  <c r="V12" i="14"/>
  <c r="V13" i="14"/>
  <c r="V14" i="14"/>
  <c r="P14" i="14" s="1"/>
  <c r="V15" i="14"/>
  <c r="V16" i="14"/>
  <c r="V17" i="14"/>
  <c r="V18" i="14"/>
  <c r="V19" i="14"/>
  <c r="V20" i="14"/>
  <c r="V21" i="14"/>
  <c r="V22" i="14"/>
  <c r="V23" i="14"/>
  <c r="V24" i="14"/>
  <c r="V25" i="14"/>
  <c r="V26" i="14"/>
  <c r="V27" i="14"/>
  <c r="V28" i="14"/>
  <c r="V29" i="14"/>
  <c r="V30" i="14"/>
  <c r="P30" i="14" s="1"/>
  <c r="V31" i="14"/>
  <c r="V32" i="14"/>
  <c r="V33" i="14"/>
  <c r="V9" i="14"/>
  <c r="P9" i="14" s="1"/>
  <c r="J10" i="14"/>
  <c r="J11" i="14"/>
  <c r="J12" i="14"/>
  <c r="P12" i="14" s="1"/>
  <c r="J13" i="14"/>
  <c r="P13" i="14" s="1"/>
  <c r="J14" i="14"/>
  <c r="J15" i="14"/>
  <c r="J16" i="14"/>
  <c r="P16" i="14" s="1"/>
  <c r="J17" i="14"/>
  <c r="P17" i="14" s="1"/>
  <c r="J18" i="14"/>
  <c r="J19" i="14"/>
  <c r="J20" i="14"/>
  <c r="P20" i="14" s="1"/>
  <c r="J21" i="14"/>
  <c r="P21" i="14" s="1"/>
  <c r="J22" i="14"/>
  <c r="J23" i="14"/>
  <c r="J24" i="14"/>
  <c r="P24" i="14" s="1"/>
  <c r="J25" i="14"/>
  <c r="P25" i="14" s="1"/>
  <c r="J26" i="14"/>
  <c r="J27" i="14"/>
  <c r="J28" i="14"/>
  <c r="P28" i="14" s="1"/>
  <c r="J29" i="14"/>
  <c r="P29" i="14" s="1"/>
  <c r="J30" i="14"/>
  <c r="J31" i="14"/>
  <c r="J32" i="14"/>
  <c r="P32" i="14" s="1"/>
  <c r="J33" i="14"/>
  <c r="P33" i="14" s="1"/>
  <c r="J9" i="14"/>
  <c r="D113" i="39" l="1"/>
  <c r="E113" i="39" s="1"/>
  <c r="D114" i="39"/>
  <c r="E114" i="39" s="1"/>
  <c r="D115" i="39"/>
  <c r="E115" i="39" s="1"/>
  <c r="D116" i="39"/>
  <c r="E116" i="39" s="1"/>
  <c r="D117" i="39"/>
  <c r="E117" i="39" s="1"/>
  <c r="D118" i="39"/>
  <c r="E118" i="39" s="1"/>
  <c r="D119" i="39"/>
  <c r="E119" i="39" s="1"/>
  <c r="D120" i="39"/>
  <c r="E120" i="39" s="1"/>
  <c r="D121" i="39"/>
  <c r="E121" i="39" s="1"/>
  <c r="D122" i="39"/>
  <c r="E122" i="39" s="1"/>
  <c r="D123" i="39"/>
  <c r="E123" i="39" s="1"/>
  <c r="D124" i="39"/>
  <c r="E124" i="39" s="1"/>
  <c r="D125" i="39"/>
  <c r="E125" i="39" s="1"/>
  <c r="D126" i="39"/>
  <c r="E126" i="39" s="1"/>
  <c r="D127" i="39"/>
  <c r="E127" i="39" s="1"/>
  <c r="D128" i="39"/>
  <c r="E128" i="39" s="1"/>
  <c r="D129" i="39"/>
  <c r="E129" i="39" s="1"/>
  <c r="D130" i="39"/>
  <c r="E130" i="39" s="1"/>
  <c r="D131" i="39"/>
  <c r="E131" i="39" s="1"/>
  <c r="D132" i="39"/>
  <c r="E132" i="39" s="1"/>
  <c r="D133" i="39"/>
  <c r="E133" i="39" s="1"/>
  <c r="D134" i="39"/>
  <c r="E134" i="39" s="1"/>
  <c r="D135" i="39"/>
  <c r="E135" i="39" s="1"/>
  <c r="D136" i="39"/>
  <c r="E136" i="39" s="1"/>
  <c r="D112" i="39"/>
  <c r="E112" i="39" s="1"/>
  <c r="D79" i="39"/>
  <c r="E79" i="39" s="1"/>
  <c r="D80" i="39"/>
  <c r="E80" i="39" s="1"/>
  <c r="D81" i="39"/>
  <c r="E81" i="39" s="1"/>
  <c r="D82" i="39"/>
  <c r="E82" i="39" s="1"/>
  <c r="D83" i="39"/>
  <c r="E83" i="39" s="1"/>
  <c r="D84" i="39"/>
  <c r="E84" i="39" s="1"/>
  <c r="D85" i="39"/>
  <c r="E85" i="39" s="1"/>
  <c r="D86" i="39"/>
  <c r="E86" i="39" s="1"/>
  <c r="D87" i="39"/>
  <c r="E87" i="39" s="1"/>
  <c r="D88" i="39"/>
  <c r="E88" i="39" s="1"/>
  <c r="D89" i="39"/>
  <c r="E89" i="39" s="1"/>
  <c r="D90" i="39"/>
  <c r="E90" i="39" s="1"/>
  <c r="D91" i="39"/>
  <c r="E91" i="39" s="1"/>
  <c r="D92" i="39"/>
  <c r="E92" i="39" s="1"/>
  <c r="D93" i="39"/>
  <c r="E93" i="39" s="1"/>
  <c r="D94" i="39"/>
  <c r="E94" i="39" s="1"/>
  <c r="D95" i="39"/>
  <c r="E95" i="39" s="1"/>
  <c r="D96" i="39"/>
  <c r="E96" i="39" s="1"/>
  <c r="D97" i="39"/>
  <c r="E97" i="39" s="1"/>
  <c r="D98" i="39"/>
  <c r="E98" i="39" s="1"/>
  <c r="D99" i="39"/>
  <c r="E99" i="39" s="1"/>
  <c r="D100" i="39"/>
  <c r="E100" i="39" s="1"/>
  <c r="D101" i="39"/>
  <c r="E101" i="39" s="1"/>
  <c r="D102" i="39"/>
  <c r="E102" i="39" s="1"/>
  <c r="D78" i="39"/>
  <c r="E78" i="39" s="1"/>
  <c r="D44" i="39"/>
  <c r="E44" i="39" s="1"/>
  <c r="D45" i="39"/>
  <c r="E45" i="39" s="1"/>
  <c r="D46" i="39"/>
  <c r="E46" i="39" s="1"/>
  <c r="D47" i="39"/>
  <c r="E47" i="39" s="1"/>
  <c r="D48" i="39"/>
  <c r="E48" i="39" s="1"/>
  <c r="D49" i="39"/>
  <c r="E49" i="39" s="1"/>
  <c r="D50" i="39"/>
  <c r="E50" i="39" s="1"/>
  <c r="D51" i="39"/>
  <c r="E51" i="39" s="1"/>
  <c r="D52" i="39"/>
  <c r="E52" i="39" s="1"/>
  <c r="D53" i="39"/>
  <c r="E53" i="39" s="1"/>
  <c r="D54" i="39"/>
  <c r="E54" i="39" s="1"/>
  <c r="D55" i="39"/>
  <c r="E55" i="39" s="1"/>
  <c r="D56" i="39"/>
  <c r="E56" i="39" s="1"/>
  <c r="D57" i="39"/>
  <c r="E57" i="39" s="1"/>
  <c r="D58" i="39"/>
  <c r="E58" i="39" s="1"/>
  <c r="D59" i="39"/>
  <c r="E59" i="39" s="1"/>
  <c r="D60" i="39"/>
  <c r="E60" i="39" s="1"/>
  <c r="D61" i="39"/>
  <c r="E61" i="39" s="1"/>
  <c r="D62" i="39"/>
  <c r="E62" i="39" s="1"/>
  <c r="D63" i="39"/>
  <c r="E63" i="39" s="1"/>
  <c r="D64" i="39"/>
  <c r="E64" i="39" s="1"/>
  <c r="D65" i="39"/>
  <c r="E65" i="39" s="1"/>
  <c r="D66" i="39"/>
  <c r="E66" i="39" s="1"/>
  <c r="D67" i="39"/>
  <c r="E67" i="39" s="1"/>
  <c r="D43" i="39"/>
  <c r="E43" i="39" s="1"/>
  <c r="D10" i="39"/>
  <c r="E10" i="39" s="1"/>
  <c r="D11" i="39"/>
  <c r="E11" i="39" s="1"/>
  <c r="D12" i="39"/>
  <c r="E12" i="39" s="1"/>
  <c r="D13" i="39"/>
  <c r="D14" i="39"/>
  <c r="E14" i="39" s="1"/>
  <c r="D15" i="39"/>
  <c r="E15" i="39" s="1"/>
  <c r="D16" i="39"/>
  <c r="E16" i="39" s="1"/>
  <c r="D17" i="39"/>
  <c r="D18" i="39"/>
  <c r="E18" i="39" s="1"/>
  <c r="D19" i="39"/>
  <c r="E19" i="39" s="1"/>
  <c r="D20" i="39"/>
  <c r="E20" i="39" s="1"/>
  <c r="D21" i="39"/>
  <c r="D22" i="39"/>
  <c r="E22" i="39" s="1"/>
  <c r="D23" i="39"/>
  <c r="E23" i="39" s="1"/>
  <c r="D24" i="39"/>
  <c r="E24" i="39" s="1"/>
  <c r="D25" i="39"/>
  <c r="D26" i="39"/>
  <c r="E26" i="39" s="1"/>
  <c r="D27" i="39"/>
  <c r="E27" i="39" s="1"/>
  <c r="D28" i="39"/>
  <c r="E28" i="39" s="1"/>
  <c r="D29" i="39"/>
  <c r="D30" i="39"/>
  <c r="E30" i="39" s="1"/>
  <c r="D31" i="39"/>
  <c r="E31" i="39" s="1"/>
  <c r="D32" i="39"/>
  <c r="E32" i="39" s="1"/>
  <c r="D33" i="39"/>
  <c r="D9" i="39"/>
  <c r="E33" i="39" l="1"/>
  <c r="E29" i="39"/>
  <c r="E25" i="39"/>
  <c r="E21" i="39"/>
  <c r="E17" i="39"/>
  <c r="E13" i="39"/>
  <c r="E9" i="39"/>
  <c r="D19" i="27"/>
  <c r="E12" i="27" l="1"/>
  <c r="E11" i="27"/>
  <c r="E10" i="27"/>
  <c r="E9" i="27"/>
  <c r="D13" i="27"/>
  <c r="E13" i="27" l="1"/>
  <c r="G13" i="6"/>
  <c r="F13" i="6"/>
  <c r="E13" i="6"/>
  <c r="D13" i="6"/>
  <c r="C17" i="17" l="1"/>
  <c r="C15" i="17"/>
  <c r="C13" i="17"/>
  <c r="C11" i="17"/>
  <c r="C9" i="17"/>
  <c r="G9" i="13"/>
  <c r="H9" i="13" s="1"/>
  <c r="E45" i="5" l="1"/>
  <c r="D135" i="30" l="1"/>
  <c r="E135" i="30" s="1"/>
  <c r="M9" i="20" l="1"/>
  <c r="J9" i="20"/>
  <c r="G9" i="20"/>
  <c r="D9" i="20"/>
  <c r="M8" i="20"/>
  <c r="J8" i="20"/>
  <c r="G8" i="20"/>
  <c r="D8" i="20"/>
  <c r="F50" i="5" l="1"/>
  <c r="G50" i="5"/>
  <c r="H50" i="5"/>
  <c r="I50" i="5"/>
  <c r="E50" i="5"/>
  <c r="I45" i="5"/>
  <c r="H45" i="5"/>
  <c r="G45" i="5"/>
  <c r="F45" i="5"/>
  <c r="I32" i="5"/>
  <c r="H32" i="5"/>
  <c r="G32" i="5"/>
  <c r="F32" i="5"/>
  <c r="E32" i="5"/>
  <c r="I29" i="5"/>
  <c r="H29" i="5"/>
  <c r="G29" i="5"/>
  <c r="F29" i="5"/>
  <c r="E29" i="5"/>
  <c r="I27" i="5"/>
  <c r="H27" i="5"/>
  <c r="G27" i="5"/>
  <c r="F27" i="5"/>
  <c r="E27" i="5"/>
  <c r="I15" i="5"/>
  <c r="H15" i="5"/>
  <c r="G15" i="5"/>
  <c r="F15" i="5"/>
  <c r="E15" i="5"/>
  <c r="F13" i="5"/>
  <c r="G13" i="5"/>
  <c r="H13" i="5"/>
  <c r="I13" i="5"/>
  <c r="E13" i="5"/>
  <c r="F11" i="5"/>
  <c r="G11" i="5"/>
  <c r="H11" i="5"/>
  <c r="I11" i="5"/>
  <c r="E11" i="5"/>
  <c r="E9" i="5"/>
  <c r="F9" i="5"/>
  <c r="G9" i="5"/>
  <c r="H9" i="5"/>
  <c r="I9" i="5"/>
  <c r="F55" i="5" l="1"/>
  <c r="G55" i="5"/>
  <c r="H55" i="5"/>
  <c r="I55" i="5"/>
  <c r="E55" i="5"/>
  <c r="E52" i="5"/>
  <c r="F52" i="5"/>
  <c r="G52" i="5"/>
  <c r="H52" i="5"/>
  <c r="I52" i="5"/>
  <c r="E53" i="5"/>
  <c r="F53" i="5"/>
  <c r="G53" i="5"/>
  <c r="H53" i="5"/>
  <c r="I53" i="5"/>
  <c r="F51" i="5"/>
  <c r="G51" i="5"/>
  <c r="H51" i="5"/>
  <c r="I51" i="5"/>
  <c r="E51" i="5"/>
  <c r="F25" i="5"/>
  <c r="G25" i="5"/>
  <c r="H25" i="5"/>
  <c r="I25" i="5"/>
  <c r="E25" i="5"/>
  <c r="F20" i="5"/>
  <c r="G20" i="5"/>
  <c r="H20" i="5"/>
  <c r="I20" i="5"/>
  <c r="E20" i="5"/>
  <c r="F22" i="5"/>
  <c r="G22" i="5"/>
  <c r="H22" i="5"/>
  <c r="I22" i="5"/>
  <c r="E22" i="5"/>
  <c r="E43" i="5"/>
  <c r="F43" i="5"/>
  <c r="G43" i="5"/>
  <c r="H43" i="5"/>
  <c r="I43" i="5"/>
  <c r="F41" i="5"/>
  <c r="G41" i="5"/>
  <c r="H41" i="5"/>
  <c r="I41" i="5"/>
  <c r="E41" i="5"/>
  <c r="F39" i="5"/>
  <c r="G39" i="5"/>
  <c r="H39" i="5"/>
  <c r="I39" i="5"/>
  <c r="E39" i="5"/>
  <c r="E24" i="28" l="1"/>
  <c r="E16" i="29" l="1"/>
  <c r="E34" i="29"/>
  <c r="E40" i="29"/>
  <c r="E46" i="29"/>
  <c r="E74" i="28" l="1"/>
  <c r="E73" i="28"/>
  <c r="E72" i="28"/>
  <c r="D45" i="31" l="1"/>
  <c r="E41" i="31"/>
  <c r="E42" i="31"/>
  <c r="E43" i="31"/>
  <c r="E44" i="31"/>
  <c r="D129" i="28"/>
  <c r="D75" i="28"/>
  <c r="D57" i="28"/>
  <c r="D51" i="28"/>
  <c r="D33" i="28"/>
  <c r="D27" i="28"/>
  <c r="D15" i="31"/>
  <c r="E26" i="31"/>
  <c r="E25" i="31"/>
  <c r="E24" i="31"/>
  <c r="E45" i="31" l="1"/>
  <c r="E15" i="31"/>
  <c r="E128" i="28"/>
  <c r="E127" i="28"/>
  <c r="E71" i="28"/>
  <c r="E56" i="28"/>
  <c r="E55" i="28"/>
  <c r="E54" i="28"/>
  <c r="E53" i="28"/>
  <c r="E50" i="28"/>
  <c r="E49" i="28"/>
  <c r="E48" i="28"/>
  <c r="E47" i="28"/>
  <c r="E32" i="28"/>
  <c r="E31" i="28"/>
  <c r="E30" i="28"/>
  <c r="E29" i="28"/>
  <c r="E26" i="28"/>
  <c r="E25" i="28"/>
  <c r="E51" i="28" l="1"/>
  <c r="E27" i="28"/>
  <c r="E129" i="28"/>
  <c r="E57" i="28"/>
  <c r="E33" i="28"/>
  <c r="E75" i="28" l="1"/>
  <c r="D27" i="31" l="1"/>
  <c r="E27" i="31" s="1"/>
  <c r="D129" i="30" l="1"/>
  <c r="E79" i="29" l="1"/>
  <c r="E80" i="29"/>
  <c r="E73" i="29"/>
  <c r="E74" i="29"/>
  <c r="E72" i="29"/>
  <c r="E78" i="29"/>
  <c r="E18" i="29"/>
  <c r="E19" i="29"/>
  <c r="E20" i="29"/>
  <c r="E12" i="29"/>
  <c r="E13" i="29"/>
  <c r="E14" i="29"/>
  <c r="E42" i="29"/>
  <c r="E81" i="29" l="1"/>
  <c r="E77" i="29" l="1"/>
  <c r="E76" i="29"/>
  <c r="E71" i="29"/>
  <c r="E70" i="29"/>
  <c r="E41" i="29"/>
  <c r="E17" i="29"/>
  <c r="E11" i="29"/>
  <c r="D75" i="29" l="1"/>
  <c r="E75" i="29" s="1"/>
  <c r="D44" i="29"/>
  <c r="E44" i="29" s="1"/>
  <c r="D43" i="29"/>
  <c r="D21" i="29"/>
  <c r="E21" i="29" s="1"/>
  <c r="D15" i="29"/>
  <c r="E15" i="29" s="1"/>
  <c r="D45" i="29" l="1"/>
  <c r="E43" i="29"/>
  <c r="E45" i="29" s="1"/>
  <c r="R10" i="8"/>
  <c r="R11" i="8"/>
  <c r="R12" i="8"/>
  <c r="R13" i="8"/>
  <c r="R14" i="8"/>
  <c r="R9" i="8"/>
  <c r="R10" i="9"/>
  <c r="R11" i="9"/>
  <c r="R12" i="9"/>
  <c r="R13" i="9"/>
  <c r="R14" i="9"/>
  <c r="R9" i="9"/>
  <c r="E94" i="29" l="1"/>
  <c r="E95" i="29"/>
  <c r="D99" i="29"/>
  <c r="E53" i="29" l="1"/>
  <c r="E47" i="29"/>
  <c r="E36" i="29" l="1"/>
  <c r="E35" i="29"/>
</calcChain>
</file>

<file path=xl/sharedStrings.xml><?xml version="1.0" encoding="utf-8"?>
<sst xmlns="http://schemas.openxmlformats.org/spreadsheetml/2006/main" count="2775" uniqueCount="880">
  <si>
    <t>Section</t>
  </si>
  <si>
    <t>Recent performance on progress metrics, last 5 years</t>
  </si>
  <si>
    <t>Grid condition findings per mile of HFTD</t>
  </si>
  <si>
    <t>1.a.</t>
  </si>
  <si>
    <t>Grid condition findings per total miles</t>
  </si>
  <si>
    <t>1.b.</t>
  </si>
  <si>
    <t>3.b.</t>
  </si>
  <si>
    <t>4.b.</t>
  </si>
  <si>
    <t>6.b.</t>
  </si>
  <si>
    <t>7.b.</t>
  </si>
  <si>
    <t>Recent performance on outcome metrics, last 5 years</t>
  </si>
  <si>
    <t>1.c.</t>
  </si>
  <si>
    <t>1.d.</t>
  </si>
  <si>
    <t>2.a.</t>
  </si>
  <si>
    <t>2.c.</t>
  </si>
  <si>
    <t>3.a.</t>
  </si>
  <si>
    <t>3.c.</t>
  </si>
  <si>
    <t>3.d.</t>
  </si>
  <si>
    <t>3.e.</t>
  </si>
  <si>
    <t>4.a.</t>
  </si>
  <si>
    <t>5.a.</t>
  </si>
  <si>
    <t>6.a.</t>
  </si>
  <si>
    <t>7.a.</t>
  </si>
  <si>
    <t>8.a.</t>
  </si>
  <si>
    <t>8.b.</t>
  </si>
  <si>
    <t>9.a.</t>
  </si>
  <si>
    <t>9.b.</t>
  </si>
  <si>
    <t>10.a.</t>
  </si>
  <si>
    <t>10.b.</t>
  </si>
  <si>
    <t>10.c.</t>
  </si>
  <si>
    <t>10.c.i</t>
  </si>
  <si>
    <t>10.c.ii</t>
  </si>
  <si>
    <t>10.c.iii</t>
  </si>
  <si>
    <t>10.d.</t>
  </si>
  <si>
    <t>10.e.</t>
  </si>
  <si>
    <t>10.f.</t>
  </si>
  <si>
    <t>11.a.</t>
  </si>
  <si>
    <t>3.f.</t>
  </si>
  <si>
    <t>Acreage burned by utility ignited wildfire (total)</t>
  </si>
  <si>
    <t>Number of ignitions in HFTD (subtotal)</t>
  </si>
  <si>
    <t>Number of ignitions in HFTD Zone 1</t>
  </si>
  <si>
    <t>Number of ignitions in HFTD Tier 2</t>
  </si>
  <si>
    <t>Number of ignitions in HFTD Tier 3</t>
  </si>
  <si>
    <t>Number of ignitions in HFTD (subtotal, normalized)</t>
  </si>
  <si>
    <t>Number of ignitions in HFTD Tier 2 (normalized)</t>
  </si>
  <si>
    <t>Number of ignitions in non-HFTD (subtotal)</t>
  </si>
  <si>
    <t>Number of ignitions in non-HFTD (normalized)</t>
  </si>
  <si>
    <t>Number of ignitions in HFTD Tier 3 (normalized)</t>
  </si>
  <si>
    <t>Critical infrastructure impacted by PSPS</t>
  </si>
  <si>
    <t>Critical infrastructure impacted by PSPS (normalized)</t>
  </si>
  <si>
    <t>List and description of additional metrics, last 5 years</t>
  </si>
  <si>
    <t>N/A</t>
  </si>
  <si>
    <t>Methodology for potential impact of ignitions</t>
  </si>
  <si>
    <t>Map file requirements for baseline condition of utility service territory projected for 2020</t>
  </si>
  <si>
    <t>Number and location of customers</t>
  </si>
  <si>
    <t>Overhead transmission lines</t>
  </si>
  <si>
    <t>Location of substations</t>
  </si>
  <si>
    <t>Location of weather stations</t>
  </si>
  <si>
    <t>All utility assets by asset type, model, age, specifications, and condition</t>
  </si>
  <si>
    <t>Circuit miles of overhead transmission lines</t>
  </si>
  <si>
    <t>Circuit miles of overhead distribution lines</t>
  </si>
  <si>
    <t>Weather patterns, last 5 years</t>
  </si>
  <si>
    <t>95th percentile wind conditions</t>
  </si>
  <si>
    <t>99th percentile wind conditions</t>
  </si>
  <si>
    <t>Other</t>
  </si>
  <si>
    <t>Current baseline state of service territory and utility equipment</t>
  </si>
  <si>
    <t>3.4.1</t>
  </si>
  <si>
    <t>3.4.2</t>
  </si>
  <si>
    <t>3.4.3</t>
  </si>
  <si>
    <t>GIS data</t>
  </si>
  <si>
    <t>Melissa Nottingham</t>
  </si>
  <si>
    <t>4.2.1</t>
  </si>
  <si>
    <t>5.3.1</t>
  </si>
  <si>
    <t>5.3.2</t>
  </si>
  <si>
    <t>5.3.3</t>
  </si>
  <si>
    <t>Grid design and system hardening</t>
  </si>
  <si>
    <t>Table</t>
  </si>
  <si>
    <t>5.3.4</t>
  </si>
  <si>
    <t>5.3.5</t>
  </si>
  <si>
    <t>5.3.6</t>
  </si>
  <si>
    <t>5.3.7</t>
  </si>
  <si>
    <t>5.3.8</t>
  </si>
  <si>
    <t>Emergency planning and preparedness</t>
  </si>
  <si>
    <t>Jeff Bolton</t>
  </si>
  <si>
    <t>5.3.10</t>
  </si>
  <si>
    <t>Stakeholder cooperation and community engagement</t>
  </si>
  <si>
    <t>5.6.1</t>
  </si>
  <si>
    <t>Recent weather patterns</t>
  </si>
  <si>
    <t>Recent drivers of ignition probability</t>
  </si>
  <si>
    <t>Location of planned utility equipment additions or removal</t>
  </si>
  <si>
    <t>Number of ignitions in HFTD Zone 1 (normalized)</t>
  </si>
  <si>
    <t>Accidental deaths due to utility wildfire mitigation initiatives, last 5 years</t>
  </si>
  <si>
    <t>Mapping recent, modelled, and baseline conditions</t>
  </si>
  <si>
    <t>WUI regions of utility service territory</t>
  </si>
  <si>
    <t>Overhead distribution lines</t>
  </si>
  <si>
    <t>3.g.</t>
  </si>
  <si>
    <t>Ignitions from this driver (according to 5-year historical average)</t>
  </si>
  <si>
    <t>Total</t>
  </si>
  <si>
    <t>In non-HFTD</t>
  </si>
  <si>
    <t>In HFTD - Zone 1</t>
  </si>
  <si>
    <t>In HFTD - Tier 2</t>
  </si>
  <si>
    <t>In HFTD - Tier 3</t>
  </si>
  <si>
    <t>Contact from object</t>
  </si>
  <si>
    <t>Animal contact</t>
  </si>
  <si>
    <t>Balloon contact</t>
  </si>
  <si>
    <t>Vehicle contact</t>
  </si>
  <si>
    <t>All types of equipment/ facility failure</t>
  </si>
  <si>
    <t>All types</t>
  </si>
  <si>
    <t>#</t>
  </si>
  <si>
    <t>Progress metric name</t>
  </si>
  <si>
    <t>Inspection Type</t>
  </si>
  <si>
    <t>Annual Performance</t>
  </si>
  <si>
    <t>Unit(s)</t>
  </si>
  <si>
    <t>Comments</t>
  </si>
  <si>
    <t>Patrol</t>
  </si>
  <si>
    <t>Findings per mile of circuit in HFTD</t>
  </si>
  <si>
    <t>Detailed</t>
  </si>
  <si>
    <t>Findings per total miles of circuit</t>
  </si>
  <si>
    <r>
      <t>Vegetation clearance</t>
    </r>
    <r>
      <rPr>
        <sz val="8"/>
        <color rgb="FF000000"/>
        <rFont val="Calibri"/>
        <family val="2"/>
        <scheme val="minor"/>
      </rPr>
      <t xml:space="preserve"> </t>
    </r>
    <r>
      <rPr>
        <sz val="8"/>
        <color rgb="FF231F20"/>
        <rFont val="Calibri"/>
        <family val="2"/>
        <scheme val="minor"/>
      </rPr>
      <t>findings from inspection</t>
    </r>
  </si>
  <si>
    <t> Percent of right of way with noncompliant clearance based on application rules and regulations at the time of inspection, as percentage of all right of way inspected</t>
  </si>
  <si>
    <r>
      <t>Extent of grid</t>
    </r>
    <r>
      <rPr>
        <sz val="8"/>
        <color rgb="FF000000"/>
        <rFont val="Calibri"/>
        <family val="2"/>
        <scheme val="minor"/>
      </rPr>
      <t xml:space="preserve"> </t>
    </r>
    <r>
      <rPr>
        <sz val="8"/>
        <color rgb="FF231F20"/>
        <rFont val="Calibri"/>
        <family val="2"/>
        <scheme val="minor"/>
      </rPr>
      <t>modularization</t>
    </r>
  </si>
  <si>
    <t>Number of sectionalizing and automated grid control  devices per circuit mile</t>
  </si>
  <si>
    <r>
      <t>Extent of grid</t>
    </r>
    <r>
      <rPr>
        <sz val="8"/>
        <color rgb="FF000000"/>
        <rFont val="Calibri"/>
        <family val="2"/>
        <scheme val="minor"/>
      </rPr>
      <t xml:space="preserve"> </t>
    </r>
    <r>
      <rPr>
        <sz val="8"/>
        <color rgb="FF231F20"/>
        <rFont val="Calibri"/>
        <family val="2"/>
        <scheme val="minor"/>
      </rPr>
      <t>modularization in HFTD</t>
    </r>
  </si>
  <si>
    <r>
      <t>Data collection and</t>
    </r>
    <r>
      <rPr>
        <sz val="8"/>
        <color rgb="FF000000"/>
        <rFont val="Calibri"/>
        <family val="2"/>
        <scheme val="minor"/>
      </rPr>
      <t xml:space="preserve"> </t>
    </r>
    <r>
      <rPr>
        <sz val="8"/>
        <color rgb="FF231F20"/>
        <rFont val="Calibri"/>
        <family val="2"/>
        <scheme val="minor"/>
      </rPr>
      <t>reporting</t>
    </r>
  </si>
  <si>
    <t>Percent of data requested in SDR and WMP Collected in initial submission </t>
  </si>
  <si>
    <t>CA 2020 WMP</t>
  </si>
  <si>
    <t>Metric Type</t>
  </si>
  <si>
    <t>Outcome Metric Name</t>
  </si>
  <si>
    <t>Near Misses</t>
  </si>
  <si>
    <t>Number of all events (such as unplanned outages, faults, conventional blown fuses, etc.) that could result in ignition, by type according to utility-provided list (total)</t>
  </si>
  <si>
    <t>Number per year</t>
  </si>
  <si>
    <t>Number of all events (such as unplanned outages, faults, conventional blown fuses, etc.) that could result in ignition, by type according to utility-provided list (normalized)</t>
  </si>
  <si>
    <t>Number per RFW circuit mile day per year</t>
  </si>
  <si>
    <t>Number of wires down (total)</t>
  </si>
  <si>
    <t>Number of wires down per year</t>
  </si>
  <si>
    <t>Number of wires down (normalized) </t>
  </si>
  <si>
    <t>Number of RFP circuit mile day per year</t>
  </si>
  <si>
    <t>Utility Inspection Findings</t>
  </si>
  <si>
    <t>Number of Level 1 findings that could increase the probability of ignition discovered per circuit mile inspected</t>
  </si>
  <si>
    <t>Average number of Level 1 findings that could increase the probability of ignition discovered by all inspections per circuit mile per year</t>
  </si>
  <si>
    <t>2.b</t>
  </si>
  <si>
    <t>Number of Level 2 findings that could increase the probability of ignition discovered per circuit mile inspected</t>
  </si>
  <si>
    <t>Average number of Level 2 findings that could increase the probability of ignition discovered by all inspections per circuit mile per year</t>
  </si>
  <si>
    <t>Average number of Level 3 findings that could increase the probability of ignition discovered by all inspections per circuit mile per year</t>
  </si>
  <si>
    <t>Customer Hours of PSPS and other outages</t>
  </si>
  <si>
    <t>Customer hours of planned outage including PSPS (total)</t>
  </si>
  <si>
    <t>Total customer hours of planned outages per year</t>
  </si>
  <si>
    <t>Customer hours of planned outages including PSPS (normalized)</t>
  </si>
  <si>
    <t>Total customer hours of planned outages per RFW circuit mile day per year</t>
  </si>
  <si>
    <t>Customer hours of unplanned outages, not including PSPS (total)</t>
  </si>
  <si>
    <t>Total customer hours of unplanned outages per year</t>
  </si>
  <si>
    <t>Customer hours of unplanned outages, not including PSPS (normalized)</t>
  </si>
  <si>
    <t>Total customer hours of unplanned outages per RFW circuit mile day per year</t>
  </si>
  <si>
    <t>Increase in System Average Interruption Duration Index (SAIDI)</t>
  </si>
  <si>
    <t>Change in minutes as compared to the previous year</t>
  </si>
  <si>
    <t>Customer hours of unplanned outages not including PSPS or Major Events (total)</t>
  </si>
  <si>
    <t>Customer hours of unplanned outages not including PSPS or Major Events (normalized)</t>
  </si>
  <si>
    <t>Utility Ignited wildfire fatalities</t>
  </si>
  <si>
    <t>Fatalities due to utility-ignited wildfire (total) </t>
  </si>
  <si>
    <t>Number of fatalities per year</t>
  </si>
  <si>
    <t>Fatalities due to utility-ignited wildfire (normalized)</t>
  </si>
  <si>
    <t>Number of fatalities per RFW circuit mile day per year</t>
  </si>
  <si>
    <t> Accidental deaths resulting from utility wildfire mitigation activities</t>
  </si>
  <si>
    <t>Deaths due to utility wildfire mitigation activities (total)</t>
  </si>
  <si>
    <t>OSHA-reportable injuries due to utility wildfire mitigation activities (total)</t>
  </si>
  <si>
    <t>Number of OSHA-reportable injuries per year</t>
  </si>
  <si>
    <t>OSHA-reportable injuries due to utility wildfire mitigation activities (normalized)</t>
  </si>
  <si>
    <t>Number of OSHA-reportable injuries per year per 1000 line miles of grid</t>
  </si>
  <si>
    <t>Value of assets destroyed by utility-ignited wildfire, listed by asset type </t>
  </si>
  <si>
    <t>Value of assets destroyed by utility-ignited wildfire (total)</t>
  </si>
  <si>
    <t> Dollars of damage or destruction per year</t>
  </si>
  <si>
    <t>Value of assets destroyed by utility-ignited wildfire (normalized)</t>
  </si>
  <si>
    <t>Dollars of damage or destruction per RFW circuit mile day per year</t>
  </si>
  <si>
    <t>Structures damages of destroyed by utility ignited wildfire </t>
  </si>
  <si>
    <t>Value of structures destroyed by utility-ignited wildfire (total)</t>
  </si>
  <si>
    <t>Number of structures destroyed per year</t>
  </si>
  <si>
    <t>Value of structures destroyed by utility-ignited wildfire (normalized)</t>
  </si>
  <si>
    <t>Number of structures destroyed per RFW circuit mile day per year</t>
  </si>
  <si>
    <t> Acreage burned by utility-ignited wildfire</t>
  </si>
  <si>
    <t>Acres burned per year</t>
  </si>
  <si>
    <t>Acreage burned by utility-ignited wildfire (normalized)</t>
  </si>
  <si>
    <t>Acres burned per RFW circuit year</t>
  </si>
  <si>
    <t> Number of utility wildfire ignitions</t>
  </si>
  <si>
    <r>
      <t>Number of ignitions (total)</t>
    </r>
    <r>
      <rPr>
        <sz val="8"/>
        <color theme="1"/>
        <rFont val="Calibri"/>
        <family val="2"/>
        <scheme val="minor"/>
      </rPr>
      <t xml:space="preserve"> </t>
    </r>
    <r>
      <rPr>
        <sz val="8"/>
        <color rgb="FF231F20"/>
        <rFont val="Calibri"/>
        <family val="2"/>
        <scheme val="minor"/>
      </rPr>
      <t>according to existing ignition data reporting requirement</t>
    </r>
  </si>
  <si>
    <t>Number of ignitions (normalized)</t>
  </si>
  <si>
    <t>Number per RFW circuit mile per year</t>
  </si>
  <si>
    <t>Number in HFTD per year </t>
  </si>
  <si>
    <t>Number in HFTD Zone 1 per year</t>
  </si>
  <si>
    <t>Number in HFTD Tier 2 per year</t>
  </si>
  <si>
    <t>Number in HFTD Tier 3 per year</t>
  </si>
  <si>
    <t>Number in HFTD per RFW circuit mile day per year</t>
  </si>
  <si>
    <t>10.d.i.</t>
  </si>
  <si>
    <t>Number in HFTD Zone 1 per RFW circuit mile day per year</t>
  </si>
  <si>
    <t>10.d.ii.</t>
  </si>
  <si>
    <t>Number in HFTD Tier 2 per RFW circuit mile day per year</t>
  </si>
  <si>
    <t>10.d.iii.</t>
  </si>
  <si>
    <t>Number in HFTD Tier 3 per RFW circuit mile day per year</t>
  </si>
  <si>
    <t>Number in non-HFTD per year</t>
  </si>
  <si>
    <t>Number in non-HFTD per RFW circuit mile day per year</t>
  </si>
  <si>
    <t> Critical infrastructure impacted</t>
  </si>
  <si>
    <t>Number in non-HFTD per RFW circuit mile day per year Number of critical infrastructure (in accordance with D.19-05-042) locations impacted per hour multiplied by hours offline per year</t>
  </si>
  <si>
    <t>11.b.</t>
  </si>
  <si>
    <t>Number of critical infrastructure (in accordance with D.19-05-042) locations impacted per hour multiplied by hours offline per RFW circuit mile day per year</t>
  </si>
  <si>
    <t>Metric</t>
  </si>
  <si>
    <t>Performance</t>
  </si>
  <si>
    <t>Underlying Assumptions</t>
  </si>
  <si>
    <t>Third-party Validation</t>
  </si>
  <si>
    <t>Activity</t>
  </si>
  <si>
    <t>Victim</t>
  </si>
  <si>
    <t>Full-Time Employee</t>
  </si>
  <si>
    <t>Contractor</t>
  </si>
  <si>
    <t>Member of Public</t>
  </si>
  <si>
    <t>Year</t>
  </si>
  <si>
    <t>Inspection</t>
  </si>
  <si>
    <t>Vegetation Management</t>
  </si>
  <si>
    <t>Utility Fuel Management</t>
  </si>
  <si>
    <t>Grid Hardening</t>
  </si>
  <si>
    <t> Total</t>
  </si>
  <si>
    <t>List of all data inputs used in impact simulation</t>
  </si>
  <si>
    <t>Sources of data inputs</t>
  </si>
  <si>
    <t>Data selection and treatment methodologies</t>
  </si>
  <si>
    <t>Assumptions, including SME input</t>
  </si>
  <si>
    <t>Equation(s), functions, or other algorithms used to obtain output</t>
  </si>
  <si>
    <t>Output type(s), e.g. wind speed model</t>
  </si>
  <si>
    <t>Layer name</t>
  </si>
  <si>
    <t>Measurements</t>
  </si>
  <si>
    <t>Units</t>
  </si>
  <si>
    <t>Area, days, square mile resolution</t>
  </si>
  <si>
    <t>Area, miles per hour, at a square mile resolution or better, noting where measurements are actual or interpolated</t>
  </si>
  <si>
    <t>Point, GPS coordinate, days, square mile resolution</t>
  </si>
  <si>
    <t>Recent use of PSPS</t>
  </si>
  <si>
    <t>Area, customer hours, square mile resolution</t>
  </si>
  <si>
    <t>Average annual number of Red Flag Warning days per square mile across service territory</t>
  </si>
  <si>
    <r>
      <t>Average 95</t>
    </r>
    <r>
      <rPr>
        <sz val="6.5"/>
        <color rgb="FF231F20"/>
        <rFont val="Calibri"/>
        <family val="2"/>
        <scheme val="minor"/>
      </rPr>
      <t xml:space="preserve">th </t>
    </r>
    <r>
      <rPr>
        <sz val="10"/>
        <color rgb="FF231F20"/>
        <rFont val="Calibri"/>
        <family val="2"/>
        <scheme val="minor"/>
      </rPr>
      <t>and 99</t>
    </r>
    <r>
      <rPr>
        <sz val="6.5"/>
        <color rgb="FF231F20"/>
        <rFont val="Calibri"/>
        <family val="2"/>
        <scheme val="minor"/>
      </rPr>
      <t xml:space="preserve">th </t>
    </r>
    <r>
      <rPr>
        <sz val="10"/>
        <color rgb="FF231F20"/>
        <rFont val="Calibri"/>
        <family val="2"/>
        <scheme val="minor"/>
      </rPr>
      <t>percentile wind speed and prevailing direction (actual)</t>
    </r>
  </si>
  <si>
    <t>Date of recent ignitions categorized by ignition probability driver</t>
  </si>
  <si>
    <t>Duration of PSPS events and area of the grid affected in customer hours per year</t>
  </si>
  <si>
    <t>Attachment location</t>
  </si>
  <si>
    <t>Non-HFTD vs HFTD (Zone 1, Tier 2, Tier 3) regions of utility service territory</t>
  </si>
  <si>
    <t>Area, square mile resolution per type</t>
  </si>
  <si>
    <t>Urban vs. rural vs. highly rural regions of utility service territory</t>
  </si>
  <si>
    <t>Area, square mile resolution</t>
  </si>
  <si>
    <t>Number and location of critical facilities</t>
  </si>
  <si>
    <t>Point, GPS coordinate</t>
  </si>
  <si>
    <t>Area, number of people, square mile resolution</t>
  </si>
  <si>
    <t>Line, quarter mile resolution</t>
  </si>
  <si>
    <t>Number and location of customers belonging to access and functional needs populations functional needs populations</t>
  </si>
  <si>
    <t>Non-HFTD vs HFTD (Zone 1, Tier 2, Tier 3) regions of utility service territpry</t>
  </si>
  <si>
    <t>Location of 2020 WMP initiative activity for each activity as planned to be completed by the end of each year of the plan term</t>
  </si>
  <si>
    <t>Planned 2020 WMP initiative activity per year</t>
  </si>
  <si>
    <t>Weather Measurement</t>
  </si>
  <si>
    <t>5 yr historical Average</t>
  </si>
  <si>
    <t>Red Flag Warning days</t>
  </si>
  <si>
    <t>RFW circuit mile days per year</t>
  </si>
  <si>
    <t>Days rated at the top 30% of proprietary fire potential index or similar fire risk index measure</t>
  </si>
  <si>
    <t>Incident Type by ignition probability driver</t>
  </si>
  <si>
    <t>Near misses tracked [y/n]</t>
  </si>
  <si>
    <t>Number of incidents per year</t>
  </si>
  <si>
    <t>Average percentage probability of ignition per incident</t>
  </si>
  <si>
    <t>Number of ignitions per year from this driver</t>
  </si>
  <si>
    <t>Average</t>
  </si>
  <si>
    <t>Veg. contact</t>
  </si>
  <si>
    <t>All typed of Equipment/ Facility failure</t>
  </si>
  <si>
    <t>PSPS characteristic</t>
  </si>
  <si>
    <t>Frequency of PSPS events (total)</t>
  </si>
  <si>
    <t>-</t>
  </si>
  <si>
    <t>Frequency of PSPS events (normalized)</t>
  </si>
  <si>
    <t>Scope of PSPS events (total)</t>
  </si>
  <si>
    <t>Scope of PSPS events (normalized)</t>
  </si>
  <si>
    <t>Duration of PSPS events (total)</t>
  </si>
  <si>
    <t>Customer hours per year</t>
  </si>
  <si>
    <t>Duration of PSPS events (normalized)</t>
  </si>
  <si>
    <t>Customer hours per RFW circuit mile day per year</t>
  </si>
  <si>
    <t>Circuit-events, measured in number of events
multiplied by number of circuits targeted for de- energization per RFW circuit mile day per year</t>
  </si>
  <si>
    <t>Number of instances where utility operating
protocol requires de-energization of a circuit or portion thereof to reduce ignition probability, per year</t>
  </si>
  <si>
    <t>Land use</t>
  </si>
  <si>
    <t>Characteristic tracked</t>
  </si>
  <si>
    <t>In HFTD Zone 1</t>
  </si>
  <si>
    <t>In HFTD Tier 2</t>
  </si>
  <si>
    <t>In HFTD Tier 3</t>
  </si>
  <si>
    <t>In urban areas</t>
  </si>
  <si>
    <t>Circuit miles</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</si>
  <si>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</si>
  <si>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</si>
  <si>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</si>
  <si>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</si>
  <si>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</si>
  <si>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</si>
  <si>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</si>
  <si>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 in WUI</t>
  </si>
  <si>
    <t>Circuit miles of overhead distribution lines in WUI</t>
  </si>
  <si>
    <t>Number of substations</t>
  </si>
  <si>
    <t>Number of substations in WUI</t>
  </si>
  <si>
    <t>In rural areas</t>
  </si>
  <si>
    <t>In highly rural areas</t>
  </si>
  <si>
    <t>Weather station count type</t>
  </si>
  <si>
    <t>Current count</t>
  </si>
  <si>
    <t>Number of weather stations (total)</t>
  </si>
  <si>
    <t>Total number located in service territory and operated by utility</t>
  </si>
  <si>
    <t>Number of weather stations (normalized)</t>
  </si>
  <si>
    <t>Total number located in service territory and operated by utility, divided by total number of circuit miles in utility service territory</t>
  </si>
  <si>
    <t>Number of weather stations in non- HFTD (total)</t>
  </si>
  <si>
    <t>Total number located in non-HFTD service territory and operated by utility</t>
  </si>
  <si>
    <t>Number of weather stations in non-HFTD (normalized)</t>
  </si>
  <si>
    <t>Total number located in non-HFTD service territory and operated by utility, divided by total number of circuit miles in non-HFTD service territory</t>
  </si>
  <si>
    <t>Number  of  weather  stations  in  HFTD Zone 1 (total)</t>
  </si>
  <si>
    <t>Total number located in HFTD Zone 1 service territory and operated by utility</t>
  </si>
  <si>
    <t>Number  of  weather  stations  in  HFTD Zone 1 (normalized)</t>
  </si>
  <si>
    <t>Total number located in HFTD Zone 1 service territory and operated by utility, divided by total number of circuit miles in HFTD Zone 1 service territory</t>
  </si>
  <si>
    <t>Number of weather stations in HFTD Tier 2 (total)</t>
  </si>
  <si>
    <t>Total number located in HFTD Tier 2 service territory and operated by utility</t>
  </si>
  <si>
    <t>Number of weather stations in HFTD Tier 2 (normalized)</t>
  </si>
  <si>
    <t>Total number located in HFTD Tier 2 service territory and operated by utility, divided by total number of circuit miles in HFTD Tier 2 service territory</t>
  </si>
  <si>
    <t>Number of weather stations in HFTD Tier 3 (total)</t>
  </si>
  <si>
    <t>Total number located in HFTD Tier 3 service territory and operated by utility</t>
  </si>
  <si>
    <t>Number of weather stations in HFTD Tier 3 (normalized)</t>
  </si>
  <si>
    <t>Total number located in HFTD Tier 3 service territory and operated by utility, divided by total number of circuit miles in HFTD Tier 3 service territory</t>
  </si>
  <si>
    <t>Fault indicator count type</t>
  </si>
  <si>
    <t>Number of fault indicators (total)</t>
  </si>
  <si>
    <t>Number of fault indicators (normalized)</t>
  </si>
  <si>
    <t>Number of fault indicators in non-HFTD (total)</t>
  </si>
  <si>
    <t>Number of fault indicators in non-HFTD (normalized)</t>
  </si>
  <si>
    <t>Number of fault indicators in HFTD Zone 1 (total)</t>
  </si>
  <si>
    <t>Number of fault indicators in HFTD Zone 1 (normalized)</t>
  </si>
  <si>
    <t>Number of fault indicators in HFTD Tier 2 (total)</t>
  </si>
  <si>
    <t>Number of fault indicators in HFTD Tier 2 (normalized)</t>
  </si>
  <si>
    <t>Number of fault indicators in HFTD Tier 3 (total)</t>
  </si>
  <si>
    <t>Number of fault indicators in HFTD Tier 3 (normalized)</t>
  </si>
  <si>
    <t>Changes by end-2022</t>
  </si>
  <si>
    <t>Number of weather stations</t>
  </si>
  <si>
    <t>Number of weather stations in WUI</t>
  </si>
  <si>
    <t>Total circuit miles planned for hardening each year, all types and locations</t>
  </si>
  <si>
    <t>Total number of substations planned for hardening each year, all locations</t>
  </si>
  <si>
    <t>Circuit miles planned for grid hardening of overhead transmission lines</t>
  </si>
  <si>
    <t>Circuit miles of overhead transmission lines in WUI to harden</t>
  </si>
  <si>
    <t>Circuit miles of overhead distribution lines to harden</t>
  </si>
  <si>
    <t>Circuit miles of overhead distribution lines in WUI to harden</t>
  </si>
  <si>
    <t>Number of substations to harden</t>
  </si>
  <si>
    <t>Number of substations in WUI to harden</t>
  </si>
  <si>
    <t>Circuit miles of overhead transmission lines to harden</t>
  </si>
  <si>
    <t>18b</t>
  </si>
  <si>
    <t>Internal Assignment</t>
  </si>
  <si>
    <t>Description of program targets</t>
  </si>
  <si>
    <t>Percent performance on outcome metrics, annual and normalized for weather, last 5 years</t>
  </si>
  <si>
    <t>Description of additional metrics</t>
  </si>
  <si>
    <t>Detailed information supporting outcome metrics</t>
  </si>
  <si>
    <t>OSHA-reportable injuries due to utility wildfire mitigation initiatives, last 5 years</t>
  </si>
  <si>
    <t>Map file requirements for recent and modelled conditions of utility service territory, last 5 years</t>
  </si>
  <si>
    <t>Recent weather patterns, last 5 years</t>
  </si>
  <si>
    <t>Circuit mile days with wind gusts over 99th percentile historical (meaning the prior 10 years, 2005-2014)
conditions per year</t>
  </si>
  <si>
    <t>Circuit mile days with wind gusts over 95th percentile historical (meaning the prior 10 years, 2005-2014)
conditions per year</t>
  </si>
  <si>
    <t>Circuit mile days where proprietary measure rated above top 30% threshold1 per year</t>
  </si>
  <si>
    <t>Recent use of PSPS, last 5 years</t>
  </si>
  <si>
    <t>Summary data on weather station count</t>
  </si>
  <si>
    <t>Location of planned utility equipment additions or removal by end of 3-yr plan</t>
  </si>
  <si>
    <t xml:space="preserve">Planned additions, removal, and upgrade of utility equipment by end of 3-year plan term </t>
  </si>
  <si>
    <t>Location of planned utility infrastructure upgrades</t>
  </si>
  <si>
    <t>6.6*</t>
  </si>
  <si>
    <t xml:space="preserve">*Interpreted as 6.6 as there was no 7.6 - typo </t>
  </si>
  <si>
    <t>Status quo ignition probability drivers by service territory</t>
  </si>
  <si>
    <t>Rank</t>
  </si>
  <si>
    <t>Macro trends impacting utility ignited ignition probability and estimated wildfire consequence by year 10</t>
  </si>
  <si>
    <t>Change in ignition probability and estimated wildfire consequence due to climate change</t>
  </si>
  <si>
    <t>Change in ignition probability and estimated wildfire consequence due to relevant invasive species, such as bark beetles</t>
  </si>
  <si>
    <t>Change in ignition probability and estimated wildfire consequence due to other drivers of change in fuel density and moisture</t>
  </si>
  <si>
    <t>Population changes (including Access and Functional Needs population) that could be impacted by utility ignition</t>
  </si>
  <si>
    <t>Population changes in HFTD that could be impacted by utility ignition</t>
  </si>
  <si>
    <t>Population changes in WUI that could be impacted by utility ignition</t>
  </si>
  <si>
    <t>Utility infrastructure location in HFTD vs non-HFTD</t>
  </si>
  <si>
    <t>Utility infrastructure location in urban vs rural vs highly rural areas</t>
  </si>
  <si>
    <t>Macro trends impacting ignition probability and/or wildfire consequence</t>
  </si>
  <si>
    <t>Service territory fire-threat evaluation and ignition risk trends</t>
  </si>
  <si>
    <t>Directional vision for necessary PSPS</t>
  </si>
  <si>
    <t>Rank Order [1-9]</t>
  </si>
  <si>
    <t>PSPS Characteristic</t>
  </si>
  <si>
    <t>Number of customers affected by PSPS events (total)</t>
  </si>
  <si>
    <t>Duration of PSPS events in customer hours (total)</t>
  </si>
  <si>
    <t>Number of customers affected by PSPS events (normalized by fire weather, e.g., Red Flag Warning line mile days)</t>
  </si>
  <si>
    <t>Frequency of PSPS events in number of instances where utility operating protocol requires de-energization of a circuit or portion thereof to reduce ignition probability (normalized by fire weather, e.g., Red Flag Warning line mile days)</t>
  </si>
  <si>
    <t xml:space="preserve">Duration of PSPS events in customer hours (normalized by fire weather, e.g., Red Flag </t>
  </si>
  <si>
    <t>Scope of PSPS events in circuit-events, measured in number of events multiplied by number of circuits targeted for de-energization (total)</t>
  </si>
  <si>
    <t>Scope of PSPS events in circuit-events, measured in number of events multiplied by number of circuits targeted for de-energization (normalized by fire weather, e.g.,</t>
  </si>
  <si>
    <t>Significantly increase, increase, no change, decreased, significantly decrease</t>
  </si>
  <si>
    <t>Frequency of PSPS events in number of instances where utility operating protocol requires de-energization of a circuit or portion thereof to reduce ignition probability (total)</t>
  </si>
  <si>
    <t>Risk assessment and mapping</t>
  </si>
  <si>
    <t>Detailed WMP programs - risk assessment and mapping</t>
  </si>
  <si>
    <t>Initiative activity</t>
  </si>
  <si>
    <t>year</t>
  </si>
  <si>
    <t>Line miles to be treated</t>
  </si>
  <si>
    <t>Spend/treated line mile</t>
  </si>
  <si>
    <t>Ignition probability drivers targeterd</t>
  </si>
  <si>
    <t>Risk reduction</t>
  </si>
  <si>
    <t>risk-spend efficiency</t>
  </si>
  <si>
    <t>Other risk drivers addressed</t>
  </si>
  <si>
    <t>Existing/new</t>
  </si>
  <si>
    <t>Existing:What proceeding has reviewed program</t>
  </si>
  <si>
    <t>If new: Memorandum account</t>
  </si>
  <si>
    <t>In/exceeding compliance with regulations</t>
  </si>
  <si>
    <t>Cite associated rule</t>
  </si>
  <si>
    <t>2019 plan</t>
  </si>
  <si>
    <t>2019 actual</t>
  </si>
  <si>
    <t>2020-2022 plan total</t>
  </si>
  <si>
    <t>1. A summarized risk map showing the overall ignition probability and estimated wildfire consequence along electric lines and equipment</t>
  </si>
  <si>
    <t>2. Climate-driven risk map modeling based on various</t>
  </si>
  <si>
    <t>3. Ignition probability mapping showing the probability of ignition along the electric lines and equipment</t>
  </si>
  <si>
    <t>4. Initiative mapping and estimation of wildfire and PSPS risk-reduction impact</t>
  </si>
  <si>
    <t>5. Match drop simulations showing the potential wildfire consequence of ignitions that occur along the electric lines and equipment</t>
  </si>
  <si>
    <t>6. Weather-driven risk map an modeling based on various relevant weather scenarios</t>
  </si>
  <si>
    <t>7.Other/not listen [only is an initiative cannot feasibly be classified within those listen above]</t>
  </si>
  <si>
    <t>Situational awareness and forecasting</t>
  </si>
  <si>
    <t xml:space="preserve">Detailed WMP programs </t>
  </si>
  <si>
    <t>1. Advanced weather monitoring and weather stations</t>
  </si>
  <si>
    <t>2. Continuous monitoring sensors</t>
  </si>
  <si>
    <t>3. Fault indicators for detecting faults on electric lines and equipment</t>
  </si>
  <si>
    <t>4. Forecast of a fire risk index, fire potential index, or similar</t>
  </si>
  <si>
    <t>5. Personnel monitoring areas of electric lines and equipment in elevated fire risk conditions</t>
  </si>
  <si>
    <t>6. Weather forecasting and estimating impacts on electric lines and equipment</t>
  </si>
  <si>
    <t>Existing: What proceeding has reviewed program</t>
  </si>
  <si>
    <t>Ignition probability drivers targeted</t>
  </si>
  <si>
    <t>4. Covered conductor maintenance</t>
  </si>
  <si>
    <t>5. Crossarm maintenance, repair, and replacement</t>
  </si>
  <si>
    <t>6. Distribution pole replacement and reinforcement, including with composite poles</t>
  </si>
  <si>
    <t>7.Expulsion fuse replacement</t>
  </si>
  <si>
    <t>8. Grid topology improvements to mitigate or reduce PSPS events</t>
  </si>
  <si>
    <t>12. Other corrective action</t>
  </si>
  <si>
    <t>16. Undergrounding of electric lines and/or equipment</t>
  </si>
  <si>
    <t>1. Capacitor maintenance and replacement program</t>
  </si>
  <si>
    <t>2. Circuit breaker maintenance and installation to de-energize lines upon detecting a fault</t>
  </si>
  <si>
    <t>10. Maintenance, repair, and replacement of connectors, including hotline clamps</t>
  </si>
  <si>
    <t>11. Mitigation of impact on customers and other residents affected during PSPS events</t>
  </si>
  <si>
    <t>14. Transformers maintenance and replacement</t>
  </si>
  <si>
    <t>17. Updates to grid topology to minimize risk of ignition in HFTDs</t>
  </si>
  <si>
    <t>Asset Management and Inspections</t>
  </si>
  <si>
    <t>1. Detailed inspections of distribution electric lines and equipment</t>
  </si>
  <si>
    <t>2. Detailed inspections of transmission electric lines and equipment</t>
  </si>
  <si>
    <t>3. Improvements of inspections</t>
  </si>
  <si>
    <t>4. Infrared inspections of distribution electric lines and equipment</t>
  </si>
  <si>
    <t>5. Infrared inspections of transmission electric lines and equipment</t>
  </si>
  <si>
    <t>6. Intrusive pole inspections</t>
  </si>
  <si>
    <t>7. LiDAR inspections of distribution electric lines and equipment</t>
  </si>
  <si>
    <t>8. LiDAR inspections of transmission electric lines and equipment</t>
  </si>
  <si>
    <t>9. Other discretionary inspection of distribution electric lines and equipment, beyond inspections mandated by rules and regulations</t>
  </si>
  <si>
    <t>10. Other discretionary inspection of transmission electric lines and equipment, beyond inspections mandated by rules and regulations</t>
  </si>
  <si>
    <t>13. Pole loading assessment program to determine safety factor</t>
  </si>
  <si>
    <t>14. Quality assurance/ quality control of inspections</t>
  </si>
  <si>
    <t>15. Substation inspections</t>
  </si>
  <si>
    <t>16.Other/not listen [only is an initiative cannot feasibly be classified within those listen above]</t>
  </si>
  <si>
    <t>Vegetation management and inspections</t>
  </si>
  <si>
    <t>1. Additional efforts to manage community and environmental impacts</t>
  </si>
  <si>
    <t>2. Detailed inspection of vegetation around distribution electric lines and equipment</t>
  </si>
  <si>
    <t>4. Emergency response vegetation management due to red flag warning or other urgent conditions</t>
  </si>
  <si>
    <t>6. Improvement of inspections</t>
  </si>
  <si>
    <t>9. Other discretionary inspection of vegetation around  distribution electric lines and equipment, beyond inspections mandated by rules and regulations</t>
  </si>
  <si>
    <t>10. Other discretionary inspection of vegetation around transmission electric lines and equipment, beyond inspections mandated by rules and regulations</t>
  </si>
  <si>
    <t>11. Patrol inspections of vegetation around transmission electric lines and equipment</t>
  </si>
  <si>
    <t>12. Patrol inspections of vegetation around transmission electric lines and equipment</t>
  </si>
  <si>
    <t>13. Quality assurance/ quality control of inspections</t>
  </si>
  <si>
    <t>14. Recruiting and training of vegetation management personnel</t>
  </si>
  <si>
    <t>15. Remediation of at-risk species</t>
  </si>
  <si>
    <t>16. Removal and remediation of trees with strike potential to electric lines and equipment</t>
  </si>
  <si>
    <t>17. Substation vegetation inspections</t>
  </si>
  <si>
    <t>18. Substation vegetation management</t>
  </si>
  <si>
    <t>20. Vegetation management to achieve clearances around electric lines and equipment</t>
  </si>
  <si>
    <t>Grid Operations and protocols</t>
  </si>
  <si>
    <t>1. Automatic recloser operations</t>
  </si>
  <si>
    <t>2. Crew-accompanying ignition prevention and suppression resources and services</t>
  </si>
  <si>
    <t>3. Personnel work procedures and training in conditions of elevated risk</t>
  </si>
  <si>
    <t>4. Protocols for PSPS re-energization</t>
  </si>
  <si>
    <t>5. PSPS events and mitigation of PSPS impacts</t>
  </si>
  <si>
    <t>6. Stationed and on-call ignition prevention and suppression resources and services</t>
  </si>
  <si>
    <t>Data governance</t>
  </si>
  <si>
    <t>4. Tracking and analysis of near miss data</t>
  </si>
  <si>
    <t>5.Other/not listen [only is an initiative cannot feasibly be classified within those listen above]</t>
  </si>
  <si>
    <t>1. Allocation methodology development and application</t>
  </si>
  <si>
    <t>3. Risk spend efficiency analysis</t>
  </si>
  <si>
    <t>4.Other/not listen [only is an initiative cannot feasibly be classified within those listen above]</t>
  </si>
  <si>
    <t>Resource allocation methodology</t>
  </si>
  <si>
    <t>5.3.9</t>
  </si>
  <si>
    <t>1. Adequate and trained workforce for service restoration</t>
  </si>
  <si>
    <t>2. Community outreach, public awareness, and communication efforts</t>
  </si>
  <si>
    <t>3. Customer support in emergencies</t>
  </si>
  <si>
    <t>4. Disaster and emergency preparedness plan</t>
  </si>
  <si>
    <t>5. Preparedness and planning for service restoration</t>
  </si>
  <si>
    <t>6. Protocols in place to learn from wildfire events</t>
  </si>
  <si>
    <t>1. Community engagement</t>
  </si>
  <si>
    <t>2. Cooperation and best practice sharing with agencies outside of CA</t>
  </si>
  <si>
    <t>3. Cooperation with suppression agencies</t>
  </si>
  <si>
    <t>4. Forest service and fuel reduction cooperation and joint roadmap</t>
  </si>
  <si>
    <t>Initiative</t>
  </si>
  <si>
    <t>Incident type by ignition probability driver</t>
  </si>
  <si>
    <t>Are near missed tracked?</t>
  </si>
  <si>
    <t>Number of ignitions per year</t>
  </si>
  <si>
    <t>Average percentage likelihood of ignition per incident</t>
  </si>
  <si>
    <t>Expected outcome of 3-yr plan - Planned utility infrastructure construction and upgrades</t>
  </si>
  <si>
    <t>Change in drivers of ignition probability taking into account planned initiatives, for each year of plan</t>
  </si>
  <si>
    <t>At this time, PacifiCorp does not have a specific grid design and system hardening wildfire mitigation program focused on transformer maintenance and replacement. Transformer replacement and maintenance is included in the company’s standard inspection, maintenance, and replacement protocols. Any enhanced inspections or accelerated correction timeframe/replacements are captured in Section 5.3.4.3, Improvement of inspections.</t>
  </si>
  <si>
    <t>Number of Level 3 findings that could increase the probability of ignition discovered per circuit mile inspected</t>
  </si>
  <si>
    <t>PacifiCorp interprets all fire threats to be of either immediate or medium level of risk. Therefore, all conditions that could increase the probability of ignition are included as either Level 1 or Level 2 conditions.</t>
  </si>
  <si>
    <t>18.Other - Replace small size Cu conductor</t>
  </si>
  <si>
    <t>3b. Covered conductor installation - distribution</t>
  </si>
  <si>
    <t>3. Covered conductor installation - transmission</t>
  </si>
  <si>
    <t>At this time, PacifiCorp does not have a specific grid design and system hardening wildfire mitigation program focused on crossarm maintenance, repair, and replacement. 
Routine crossarm maintenance, repair, and replacement are included in the company’s standard inspection and correction programs, with an accelerated timeline for correction under the company’s Inspection program improvement, Section 5.3.4.3.</t>
  </si>
  <si>
    <t>9. Installation of system automation equipment</t>
  </si>
  <si>
    <t>13. Pole loading infrastructure hardening and replacement program based on pole loading assessment program</t>
  </si>
  <si>
    <t xml:space="preserve">At this time, PacifiCorp does not have a specific grid design and system hardening wildfire mitigation program focused on capacitor maintenance and replacement. Capacitor replacement and maintenance is included in the company’s standard inspection, maintenance, and replacement protocols. Any enhanced inspections or accelerated correction timeframe/replacements are captured in Section 5.3.4.3, Improvement of inspections. </t>
  </si>
  <si>
    <t>PacifiCorp is incorporating this element into other system hardening programs to embrace maximum planning and spend efficiency (pole replacement, covered conductor replacement, advanced coordination, etc. PacifiCorp will continue to evaluate the need for an additional overhead expulsion fuse program should all fuses not be replaced through other programs</t>
  </si>
  <si>
    <t xml:space="preserve">At this time, PacifiCorp does not have any grid design and system hardening wildfire mitigation programs focused on other corrective action. PacifiCorp’s relevant corrective actions are included in the company’s Improvement of inspections in Section 5.3.4.3. </t>
  </si>
  <si>
    <t>6b. Transmission pole replacement and reinforcement, including with composite poles</t>
  </si>
  <si>
    <t xml:space="preserve">PacifiCorp does not currently have a specific grid design and system hardening wildfire mitigation program focused on maintenance, repair, and replacement of connectors, including hotline clamps. Replacement of connectors, where applicable, is included in other programs such as installation of covered conductor. </t>
  </si>
  <si>
    <t xml:space="preserve">PacifiCorp does not have a specific grid design and system hardening wildfire mitigation program focused on transmission tower maintenance and replacement outside of standard inspection and correction programs describes in Section 5.3.4 or transmission pole replacement as included in Section 5.3.3.6. </t>
  </si>
  <si>
    <t xml:space="preserve">15. Transmission tower maintenance and replacement </t>
  </si>
  <si>
    <t xml:space="preserve">At this time, PacifiCorp does not have any specific asset management and inspections wildfire mitigation programs focused on other discretionally inspection of distribution lines not included in other programs. </t>
  </si>
  <si>
    <t xml:space="preserve">N/A - While PacifiCorp remains fully committed to the continued development and improvement of the company’s risk based decision making framework, many of the elements requested in this 2020 CA WMP filing may not be applicable to PacifiCorp, specifically many of the components requested in this section.  At the guidance of the Wildfire Safety Division of the California Public Utilities Commission,  these elements are marked “does not apply” or “not applicable” throughout the company’s filing. </t>
  </si>
  <si>
    <t xml:space="preserve">At this time, PacifiCorp does not have any additional grid operations and protocols wildfire mitigation programs. </t>
  </si>
  <si>
    <t xml:space="preserve">PacifiCorp considers re-energization after a PSPS event to be a subset of outage restoration / re-energization protocols included in Section 5.3.6.3. Therefore, PacifiCorp does not have a separate protocol for PSPS. </t>
  </si>
  <si>
    <t>Existing</t>
  </si>
  <si>
    <t>CA GO 95 &amp; 165</t>
  </si>
  <si>
    <t>New in 2019</t>
  </si>
  <si>
    <t>Program incorporated new requirements  in 2019</t>
  </si>
  <si>
    <t>New in 2019 (Pilot)</t>
  </si>
  <si>
    <t xml:space="preserve">At this time, PacifiCorp does not have any specific asset management and inspections wildfire mitigation programs focused on other discretionally inspection of transmission lines not included in other programs. </t>
  </si>
  <si>
    <t>CA GO 174</t>
  </si>
  <si>
    <t>All</t>
  </si>
  <si>
    <t>TBD</t>
  </si>
  <si>
    <t>CA GO 165</t>
  </si>
  <si>
    <t>2019 CA WMP</t>
  </si>
  <si>
    <t xml:space="preserve">PacifiCorp does not have a specific vegetation management and inspections wildfire mitigation program focused on LiDAR inspections of vegetation around distribution electric lines and equipment. Instead, PacifiCorp incorporates, as a component, LiDAR inspections of vegetation around distribution lines and equipment in its LiDAR inspections of distribution electric lines and equipment program. See Section 5.3.4.7. </t>
  </si>
  <si>
    <t>PacifiCorp does not have a specific vegetation management and inspections wildfire mitigation program focused on LiDAR inspections of vegetation around transmission electric lines and equipment. Instead, PacifiCorp incorporates, as a component, LiDAR inspections of vegetation around transmission lines and equipment in its LiDAR inspections of transmission electric lines and equipment program. See Section 5.3.4.8.</t>
  </si>
  <si>
    <t>New pilot program planning to evolve; No clear values beyond 2020</t>
  </si>
  <si>
    <t xml:space="preserve">Program incorporated new requirements  in 2019; </t>
  </si>
  <si>
    <t>In Compliance with Regulation</t>
  </si>
  <si>
    <t>Exceeding Regulations</t>
  </si>
  <si>
    <t>Existing historic compliance based program</t>
  </si>
  <si>
    <t>N/A  
(exceeds standard design)</t>
  </si>
  <si>
    <t>Exceeds Regulation</t>
  </si>
  <si>
    <t>New Proposed in 2019</t>
  </si>
  <si>
    <t>Exceeds  standard engineering design</t>
  </si>
  <si>
    <t>12. Patrol inspections of transmission electric lines and equipment</t>
  </si>
  <si>
    <t>New Element Proposed in 2019</t>
  </si>
  <si>
    <t>CA GO 95 &amp; 165
2018 GRC</t>
  </si>
  <si>
    <t>N/A - Not an ignition probability risk reduction program</t>
  </si>
  <si>
    <t>Contact from object;
Wire-to-wire contact / contamination</t>
  </si>
  <si>
    <t>Contact from object;
All types of equipment / facility failure</t>
  </si>
  <si>
    <t>Program facilitates enhanced coordination which reduces impact of all types of fault events and reduced potential of ignition</t>
  </si>
  <si>
    <t>All types of equipment failure;
Contact from object</t>
  </si>
  <si>
    <t xml:space="preserve">Values reported indicate number of substation inspections completed or planned and $/inspection </t>
  </si>
  <si>
    <t>11. Patrol inspections of distribution electric lines and equipment</t>
  </si>
  <si>
    <t>Reduced impact of  PSPS events</t>
  </si>
  <si>
    <t>Facilitates restoration efforts through enhanced resiliency</t>
  </si>
  <si>
    <t>Exceeds regulation to the extent that poles are identified for replacement above and beyond standard inspection programs</t>
  </si>
  <si>
    <t>OSHA reportable injuries from utility wildfire mitigation initiatives</t>
  </si>
  <si>
    <t>Program can include multiple design types based on installation voltage/ type</t>
  </si>
  <si>
    <t>All - Regardless of the cause, this program reduces that potential that a fault scenario results in an ignition event through advanced coordination</t>
  </si>
  <si>
    <t>New pilot program planning to evolve; No clear values beyond 2020 yet</t>
  </si>
  <si>
    <t>All types of equipment failure;</t>
  </si>
  <si>
    <t xml:space="preserve">General program and best practices applied to an accounted for in other relevant programs </t>
  </si>
  <si>
    <r>
      <t>List and description of program targets,</t>
    </r>
    <r>
      <rPr>
        <strike/>
        <sz val="11"/>
        <color theme="1"/>
        <rFont val="Calibri"/>
        <family val="2"/>
        <scheme val="minor"/>
      </rPr>
      <t xml:space="preserve"> last 5 years </t>
    </r>
    <r>
      <rPr>
        <sz val="11"/>
        <color theme="1"/>
        <rFont val="Calibri"/>
        <family val="2"/>
        <scheme val="minor"/>
      </rPr>
      <t>2019 per WMP Clariifcation Document issued 1/15/2020</t>
    </r>
  </si>
  <si>
    <t>11a</t>
  </si>
  <si>
    <t>Key recent drivers of ignition probability transmission lines, last 5 years</t>
  </si>
  <si>
    <t>11b</t>
  </si>
  <si>
    <t>Key recent drivers of ignition probability distribution lines, last 5 years</t>
  </si>
  <si>
    <t>N/A - System Wide</t>
  </si>
  <si>
    <t>N/A - Not a specifically budgeted program</t>
  </si>
  <si>
    <t>N/A - Response related</t>
  </si>
  <si>
    <t>Existing with wildfire specific modifications</t>
  </si>
  <si>
    <t>GO 166</t>
  </si>
  <si>
    <t>GRC</t>
  </si>
  <si>
    <t>Program is an extension of existing emergency management programs</t>
  </si>
  <si>
    <t>Contact from objects</t>
  </si>
  <si>
    <t>Community outreach reduces the potential of third party contact and supports restoration</t>
  </si>
  <si>
    <t>PacifiCorp does not, at this time, have any other emergency planning and preparedness wildfire mitigation programs</t>
  </si>
  <si>
    <t xml:space="preserve">PacifiCorp’s leverages existing systems and processes included in the company’s Emergency Response Plan to learn from wildfire events in the same manner PacifiCorp learns from any emergency event. Therefore, PacifiCorp does not have a specific program for incorporation of lessons learned that is not already covered in a previous program. </t>
  </si>
  <si>
    <t>GO95</t>
  </si>
  <si>
    <t>Similar to substation inspections, units are reported on a per pole basis</t>
  </si>
  <si>
    <t>2018 GRC &amp; 2019 WMP</t>
  </si>
  <si>
    <t>PacifiCorp’s description of patrol inspections of vegetation around distribution electric lines and equipment is included in the company’s description of detailed inspections of vegetation around distribution lines and equipment. See Section 5.3.5.2</t>
  </si>
  <si>
    <t>PacifiCorp’s description of patrol inspections of vegetation around transmission electric lines and equipment is included in the company’s description of detailed inspections of vegetation around transmission lines and equipment. See Section 5.3.5.3</t>
  </si>
  <si>
    <t xml:space="preserve">At this time, PacifiCorp does not have any other discretionary inspection of vegetation around transmission electric lines and equipment, beyond inspections mandated by rules and regulations, and other described programs. </t>
  </si>
  <si>
    <t>19. Vegetation inventory system</t>
  </si>
  <si>
    <t xml:space="preserve">PacifiCorp’s vegetation detailed inspection and correction program included in Sections 5.3.5.2 and 5.3.5.3, discretionary inspection included in 5.3.5.9, and overall management activities to achieve proper clearances in Section 5.3.5.20, include work in and around substations. Therefore, PacifiCorp does not have a specific vegetation management and inspections program focused on substation inspection. See Sections 5.3.5.2, 5.3.5.3, 5.3.5.9, and 5.3.5.20. </t>
  </si>
  <si>
    <t xml:space="preserve">N/A - Elements already captured in other relevant programs </t>
  </si>
  <si>
    <t>Program improvements already captured in other relevant programs</t>
  </si>
  <si>
    <t>In evaluation phase; No specific program dollars assigned. See Section 5.3.3.8</t>
  </si>
  <si>
    <t>3. Detailed inspection of vegetation around transmission electric lines and equipment</t>
  </si>
  <si>
    <t>5. Fuel management and reduction of "slash: from vegetation management activities</t>
  </si>
  <si>
    <t>7. LiDAR inspections of vegetation around distribution electric lines and equipment</t>
  </si>
  <si>
    <t>Reduces risk of escalation; Supports accelerated restoration to reduced impact of an event on communities</t>
  </si>
  <si>
    <t>Reduces escalation should an ignition event occur through removal of fuel</t>
  </si>
  <si>
    <t xml:space="preserve">However, at this time, PacifiCorp does not have a specific stakeholder cooperation and community engagement wildfire mitigation program focused on community engagement. While PacifiCorp values community engagement as a wildfire risk mitigation strategy, the company has incorporated, as an element, stakeholder cooperation and community engagement as a component of its overall Emergency Response Programs as included in Section 5.3.9.2.  </t>
  </si>
  <si>
    <t xml:space="preserve">In times of emergencies, PacifiCorp’s emergency management group interfaces and maintains relationships with federal and state emergency responders and mutual assistance groups, including fire suppression agencies. The emergency manager has contact information for state, county and tribal emergency managers, the state’s Emergency Operations Center Emergency Support Functions (ESF) personnel, and the Geographic Area Coordination Centers dispatch centers for fire-related emergency response. 
Therefore, as opposed to having a separate program, at this time, PacifiCorp views cooperation with suppression agencies as a component of the company’s emergency planning and preparedness programs outlined in Section 5.3.9. </t>
  </si>
  <si>
    <t xml:space="preserve">While collaboration such as this is critical to the overall reduction of wildfire risk in the state of CA, PacifiCorp, at this time, does not have a specific program dedicated to this effort. Instead, PacifiCorp views these efforts on an as-needed basis and incorporates additional efforts to manage community environments within other programs, such as those included in Section 5.3.9.2 and Section 5.3.10.1 and the company’s overall vegetation management and inspections programs described in Section 5.3.5. </t>
  </si>
  <si>
    <t>At this time, PacifiCorp does not have any other stakeholder cooperation and community engagement programs.</t>
  </si>
  <si>
    <t xml:space="preserve">At this time, PacifiCorp does not have an additional grid operations and protocols wildfire mitigation program not already included and discussed in Section 4.4 and Section 5.6.2. </t>
  </si>
  <si>
    <t>Reduces escalation should an ignition event occur through removal of subsequent fault event</t>
  </si>
  <si>
    <t>All - Regardless of the cause, this program reduces that potential that a fault scenario results in an ignition event</t>
  </si>
  <si>
    <t>Non-standard operating practice</t>
  </si>
  <si>
    <t xml:space="preserve">Reduces escalation should an ignition event occur </t>
  </si>
  <si>
    <t>Program is applicable to all HFTD OH lines</t>
  </si>
  <si>
    <t>Equipment related ignition</t>
  </si>
  <si>
    <t>As these projects are not scoped on a line-mile basis, the values reported reflect projects</t>
  </si>
  <si>
    <t>PC3a.Events Recorded with Fire Reference:  Not Fire Season</t>
  </si>
  <si>
    <t>PC3b.Events Recorded with Fire Reference:  Fire Season</t>
  </si>
  <si>
    <t>PC4a. Events Recorded with Fire Reference: damage fire, equipment fire, pole fire:  Not Fire Season</t>
  </si>
  <si>
    <t>PC4b. Events Recorded with Fire Reference: damage fire, equipment fire, pole fire:  Fire Season</t>
  </si>
  <si>
    <t>PC5. Wire down risks</t>
  </si>
  <si>
    <t>PC6. Wire down trend</t>
  </si>
  <si>
    <t>Outage event(s)</t>
  </si>
  <si>
    <t> Outage event(s)</t>
  </si>
  <si>
    <t>Data source is outage reporting system in which outage makes reference to fire in comment or outage cause</t>
  </si>
  <si>
    <t>Subset of PC3 where record makes reference to utility equipment or key components</t>
  </si>
  <si>
    <t>Reduction in quantity of wire down events, year over year, during the designated fire season period</t>
  </si>
  <si>
    <t>Reduced live and dead fuel moisture values relative to the historical baseline correlate with increased fire severity. Tree mortality induced by climate change may increase ignitions associated with tree line contact.</t>
  </si>
  <si>
    <t xml:space="preserve">Tree mortality induced by disturbances such as beetle kill may increase ignitions associated with tree line contact.  The relation between tree mortality and fire behavior is not clear and remains an active research area.  </t>
  </si>
  <si>
    <t>100+ years of fire suppression and exclusion have contributed to higher fuel loading and a shift from frequent low intensity fires that benefit the landscape to a smaller number of intense fires that have negative effects on the landscape.</t>
  </si>
  <si>
    <t>This macro trend was interpreted to refer to aging population and individuals with limited mobility and/or cognitive impairments and how they could be impacted by utility-caused ignitions. Due to limited urban populations, this is not viewed as a major driver of fire consequence in PacifiCorp's service territory.</t>
  </si>
  <si>
    <t>Future demographic trends in PacifiCorp's service territory are unknown, but this is not viewed as a major driver of fire consequence in PacifiCorp's service territory</t>
  </si>
  <si>
    <t>Structures in Wildland Urban Interface or Intermix are more vulnerable to fire losses than those in urbanized areas. As more structures are built in WUI/Intermix areas fire losses from all causes, not just utility ignitions, may increase.</t>
  </si>
  <si>
    <t>As additional utility infrastructure is added to HFTD areas to serve new development, utility ignition probability may increase due to the presence of utilities in HFTD areas that previously had no utility infrastructure. However, some of this increase in ignition probability may be offset by hardened infrastructure, advanced coordination, improved real-time monitoring of circuits or other fire prevention measures such as proactive de-energization.</t>
  </si>
  <si>
    <t>As more structures are built in rural &amp; highly rural areas that are connected to the grid, increased presence of utilities may in areas that previously contained no utilities may increase utility ignition probability. However, some of this increase in ignition probability may be offset by hardened infrastructure, advanced coordination, improved real-time monitoring of circuits or other fire prevention measures such as proactive de-energization.</t>
  </si>
  <si>
    <t>GIS File-geodatabase file name</t>
  </si>
  <si>
    <t>GIS Layer Name</t>
  </si>
  <si>
    <t>Data_Table8.gdb</t>
  </si>
  <si>
    <t>WWA_PAC_FW_2015-2019_Durations_Grid</t>
  </si>
  <si>
    <t>Ave95_99th_PercentileWind_Grid</t>
  </si>
  <si>
    <t>Ignition_Probability_Grid</t>
  </si>
  <si>
    <t>file-geodatabase name</t>
  </si>
  <si>
    <t>Data_Table9MapLayer1.gdb</t>
  </si>
  <si>
    <t>HFTD_Grid</t>
  </si>
  <si>
    <t>LANDUSE_Grid</t>
  </si>
  <si>
    <t>WUI_Grid</t>
  </si>
  <si>
    <t>Critical_Facilities</t>
  </si>
  <si>
    <t>Customer_Grid</t>
  </si>
  <si>
    <t>CustomerAFN_Grid</t>
  </si>
  <si>
    <t>Distirbution_Line_OH</t>
  </si>
  <si>
    <t>Transmission_Line</t>
  </si>
  <si>
    <t>Distribution_Sub &amp; Transmission_Sub</t>
  </si>
  <si>
    <t>Weather_Stations</t>
  </si>
  <si>
    <t>All_poles</t>
  </si>
  <si>
    <t>Data_Table9MapLayer2.gdb</t>
  </si>
  <si>
    <t>Lines_HFTD</t>
  </si>
  <si>
    <t>Lines_LandUse</t>
  </si>
  <si>
    <t>Lines_LandUse00</t>
  </si>
  <si>
    <t>Distirbution_Line</t>
  </si>
  <si>
    <t>Substaton</t>
  </si>
  <si>
    <t>1/0</t>
  </si>
  <si>
    <t>0/0</t>
  </si>
  <si>
    <t>14/8</t>
  </si>
  <si>
    <t>9/9</t>
  </si>
  <si>
    <t>1/1</t>
  </si>
  <si>
    <t>5/4</t>
  </si>
  <si>
    <t>7/9</t>
  </si>
  <si>
    <t>15/21</t>
  </si>
  <si>
    <t>12/2</t>
  </si>
  <si>
    <t>4/2</t>
  </si>
  <si>
    <t>8/1</t>
  </si>
  <si>
    <t>Number of substations (distribution/transmission)</t>
  </si>
  <si>
    <t>Number of substations in WUI (distribution/transmission)</t>
  </si>
  <si>
    <t>Data_Table9MapLayer3.gdb</t>
  </si>
  <si>
    <t>Distirbution_Line/Substations</t>
  </si>
  <si>
    <t> NA</t>
  </si>
  <si>
    <t xml:space="preserve">n </t>
  </si>
  <si>
    <t xml:space="preserve">All Seasons </t>
  </si>
  <si>
    <t>Transmission</t>
  </si>
  <si>
    <t>Unknown</t>
  </si>
  <si>
    <t>Contamination</t>
  </si>
  <si>
    <t>Conductor</t>
  </si>
  <si>
    <t>Crossarm</t>
  </si>
  <si>
    <t>Fuse</t>
  </si>
  <si>
    <t>Insulator</t>
  </si>
  <si>
    <t>Lightning arrestor</t>
  </si>
  <si>
    <t>Pole</t>
  </si>
  <si>
    <t>Sectionalizer</t>
  </si>
  <si>
    <t>Splice/clamp/connector</t>
  </si>
  <si>
    <t>Switch</t>
  </si>
  <si>
    <t>Transformer</t>
  </si>
  <si>
    <t>Voltage regulator</t>
  </si>
  <si>
    <t>Normal Operation</t>
  </si>
  <si>
    <t>Vandalism/Theft</t>
  </si>
  <si>
    <t>Wire-to-wire contact</t>
  </si>
  <si>
    <t>Contact from 3rd party</t>
  </si>
  <si>
    <t xml:space="preserve">Distribuiton </t>
  </si>
  <si>
    <t xml:space="preserve">Fire Season ONLY </t>
  </si>
  <si>
    <t>Number of incidents per year (according to 5-year Historical Average)</t>
  </si>
  <si>
    <t>Average likelihood of ignition per Incident</t>
  </si>
  <si>
    <t xml:space="preserve">Fire Seasons </t>
  </si>
  <si>
    <t>Program Details</t>
  </si>
  <si>
    <t>Program Target</t>
  </si>
  <si>
    <t>Progress</t>
  </si>
  <si>
    <t xml:space="preserve">Program </t>
  </si>
  <si>
    <t>Duration</t>
  </si>
  <si>
    <t>Total Planned Unit(s)</t>
  </si>
  <si>
    <t>Anticipated Completion</t>
  </si>
  <si>
    <t>2019 Performance / Update</t>
  </si>
  <si>
    <t>Cumulative Percent Complete of Total Plan (%)</t>
  </si>
  <si>
    <t>Situational Awareness</t>
  </si>
  <si>
    <t>Weather Station Installation</t>
  </si>
  <si>
    <t>10 stations</t>
  </si>
  <si>
    <t>See Section 5.3.2.1</t>
  </si>
  <si>
    <t>Asset management and inspections</t>
  </si>
  <si>
    <t>Enhanced transmission inspections using IR/alternate technologies</t>
  </si>
  <si>
    <t>1 Pilot Project</t>
  </si>
  <si>
    <t>See Section 5.3.4.5</t>
  </si>
  <si>
    <t>Complete planned inspections, including additional HFTD inspections</t>
  </si>
  <si>
    <t>Annual program/target</t>
  </si>
  <si>
    <t>3,311 equivalent line miles</t>
  </si>
  <si>
    <t>Annual / on-going</t>
  </si>
  <si>
    <t>3,310 equivalent line-miles</t>
  </si>
  <si>
    <t>99.9% in 2019</t>
  </si>
  <si>
    <t>See Section 5.3.4.3</t>
  </si>
  <si>
    <t>Implement  LiDAR inspection pilot project for distribution and transmission lines</t>
  </si>
  <si>
    <t>See Section 5.3.4.7</t>
  </si>
  <si>
    <t xml:space="preserve">System Hardening: </t>
  </si>
  <si>
    <t>Installation of Covered Conductor</t>
  </si>
  <si>
    <t>Engineering and scoping completed for 38 line-miles planned in 2020</t>
  </si>
  <si>
    <t>See Section 5.3.3.3</t>
  </si>
  <si>
    <t>Replacement of Cu Conductor</t>
  </si>
  <si>
    <t>53 line miles</t>
  </si>
  <si>
    <t>Engineering specification and scope completed for 3 line miles planned in 2020;</t>
  </si>
  <si>
    <t>See Section 5.3.3.18</t>
  </si>
  <si>
    <t>Installation of System Automation Equipment</t>
  </si>
  <si>
    <t>68 projects</t>
  </si>
  <si>
    <t>10 projects complete</t>
  </si>
  <si>
    <t>See Section 5.3.3.9</t>
  </si>
  <si>
    <t>Proactive Wood Pole Replacement</t>
  </si>
  <si>
    <t>Engineering standard and specification completed;</t>
  </si>
  <si>
    <t>See Section 5.3.3.6</t>
  </si>
  <si>
    <t xml:space="preserve">Vegetation Management and Inspections: </t>
  </si>
  <si>
    <t>Perform annual inspections on all lines in the HFTD</t>
  </si>
  <si>
    <t>See Section 5.3.5.2 &amp; Section 5.3.5.3</t>
  </si>
  <si>
    <t>Implement radial pole clearing program</t>
  </si>
  <si>
    <t>See Section 5.3.5.9</t>
  </si>
  <si>
    <t>Single pilot project
(2-yr)</t>
  </si>
  <si>
    <t>Multi-year
(5 yr)</t>
  </si>
  <si>
    <t>Near Misses (limited to fire season)</t>
  </si>
  <si>
    <t>1.a.2</t>
  </si>
  <si>
    <t>1.b.2</t>
  </si>
  <si>
    <t>1.c.2</t>
  </si>
  <si>
    <t>1.d.2</t>
  </si>
  <si>
    <t>Not limited to fire season and includes major events</t>
  </si>
  <si>
    <t>Limited to fire season and includes major events</t>
  </si>
  <si>
    <t>Customer Hours of PSPS and other outages 
(limited to fire season)</t>
  </si>
  <si>
    <t>3.a.1</t>
  </si>
  <si>
    <t>3.c.1</t>
  </si>
  <si>
    <t>3.b.1</t>
  </si>
  <si>
    <t>3.d.1</t>
  </si>
  <si>
    <t>3.e.1</t>
  </si>
  <si>
    <t>3.f.1</t>
  </si>
  <si>
    <t>3.g.1</t>
  </si>
  <si>
    <t>Only planned outages, not limited to fire season and includes major events</t>
  </si>
  <si>
    <t>Excludes planned outages, not limited to fire season and includes major events</t>
  </si>
  <si>
    <t>Excludes Major events and planned outages, not limited to fire season</t>
  </si>
  <si>
    <t>Excludes planned outages, not limited to fire season and excludes major events No PSPS events have occurred.</t>
  </si>
  <si>
    <t>Only planned outages, limited to fire season and includes major events</t>
  </si>
  <si>
    <t>Excludes planned outages, limited to fire season and includes major events</t>
  </si>
  <si>
    <t>Excludes Major events and planned outages, limited to fire season</t>
  </si>
  <si>
    <t>Excludes planned outages, limited to fire season and excludes major events. No PSPS events have occurred.</t>
  </si>
  <si>
    <t>Qualitative answer which takes into consideration not applicable sections noted throughout the WMP</t>
  </si>
  <si>
    <t>Normal Operations</t>
  </si>
  <si>
    <t>Detailed risk driver</t>
  </si>
  <si>
    <t>No discrete data available; 
General reducing trend anticipated specific to fire season within PacifiCorp's service territory within the HFTD</t>
  </si>
  <si>
    <t>No discrete data available; General reducing trend anticipated specific to fire season within PacifiCorp's service territory within the HFTD</t>
  </si>
  <si>
    <t>16.Other/not listed - Radial Pole Clearing</t>
  </si>
  <si>
    <t>R.18-12-005</t>
  </si>
  <si>
    <t>Historic fire weather</t>
  </si>
  <si>
    <t>CalFIRE shape files, USFS map products, cause data</t>
  </si>
  <si>
    <t>2007 thru 2019</t>
  </si>
  <si>
    <t>Historic perimeters serve as potential future fire risk areas</t>
  </si>
  <si>
    <t>Map of elevated areas</t>
  </si>
  <si>
    <t>Terrain</t>
  </si>
  <si>
    <t>All geography served by company</t>
  </si>
  <si>
    <t>Terrain constant over time</t>
  </si>
  <si>
    <t>Fuel conditions</t>
  </si>
  <si>
    <t>Landfire data</t>
  </si>
  <si>
    <t>Fuel not substantially different over long time continuum</t>
  </si>
  <si>
    <t>Historic egress/access issues</t>
  </si>
  <si>
    <t>Map products (Tiger, Google)</t>
  </si>
  <si>
    <t>Local operational input; map review of egress and fire history</t>
  </si>
  <si>
    <t>Elevation of CalFire led map product</t>
  </si>
  <si>
    <t>NA</t>
  </si>
  <si>
    <t>Decrease</t>
  </si>
  <si>
    <t xml:space="preserve">As PacifiCorp’s system hardening programs bias toward customer density, PacifiCorp assumes this will be the second most impactful characteristic. </t>
  </si>
  <si>
    <t xml:space="preserve">PacifiCorp assumes implementation of system hardening projects as well as situational awareness will significantly affect threshold criteria and improve the quality of information used to implement PSPS events. </t>
  </si>
  <si>
    <t xml:space="preserve">PacifiCorp assumes implementation of system hardening projects as well as situational awareness will significantly decrease the scope of potential future PSPS event. </t>
  </si>
  <si>
    <t xml:space="preserve">PacifiCorp assumes implementation of system hardening projects as well as situational awareness will significantly affect threshold criteria and improve the quality of information used to implement PSPS events, including the decision to end a PSPS event affecting duration. </t>
  </si>
  <si>
    <t>Significantly Decrease</t>
  </si>
  <si>
    <t>Data source is outage reporting system in which cause code or comments would result in downed conductor during fire season</t>
  </si>
  <si>
    <t xml:space="preserve">At this time, PacifiCorp does not have a specific grid design and system hardening wildfire mitigation program focused on circuit breaker maintenance and replacement.  Circuit breakers are generally installed for all distribution circuits and transmission lines to detect fault current and protect equipment in the event that a fault is detected. Circuit breaker replacement and maintenance is included in the company’s standard inspection, maintenance, and replacement protocols. Any enhanced inspections or accelerated correction timeframe/replacements are captured in Section 5.3.4.3, Improvement of inspections. Replacement of specific, targeted circuit breakers as a part of PacifiCorp’s WMP to support overall advanced coordination and detection efforts are better captured in initiative 5.3.3.9, Installation of system automation equipment. </t>
  </si>
  <si>
    <t>2019 WMP Memorandum Account</t>
  </si>
  <si>
    <t xml:space="preserve">At this time, PacifiCorp does not have any grid design and system hardening programs focused on covered conductor maintenance. As PacifiCorp progresses with implementation of the company wildfire mitigation programs, the company will continue to evaluate covered conductor specific wildfire mitigation maintenance programs. </t>
  </si>
  <si>
    <t xml:space="preserve">PacifiCorp does not currently have an additional grid design and system hardening wildfire mitigation program focused on mitigation of impact on customers and other residents affected during PSPS event outside of the initiatives described in Section 5.3.3.8. 
Both of these programs are combined as relevant grid topology improvements pertaining to grid design and system hardening that reduce PSPS events inherently also mitigate the impact on customers. Furthermore, PacifiCorp’s additional programs or efforts to mitigate the impact on customers and other residents affected during a PSPS event are described in Section 4.4 and Section 5.6.2. </t>
  </si>
  <si>
    <t xml:space="preserve">Pole loading to accommodate safety factors and necessary specifications are included in PacifiCorp’s engineering and construction standards. 
At this time, PacifiCorp has piloted the use of LiDAR to create structural models to calculate pole loading capacity.  In addition, specific pole loading assessment of in-service assets was included as a subset to the methodology of PacifiCorp’s pole replacement programs included in Section 5.3.3.6. Where appropriate, pole loading assessment of new construction has also been incorporated into the new standards developed included in Section 5.3.3.6. 
</t>
  </si>
  <si>
    <t xml:space="preserve">PacifiCorp recognizes that value may exist in installation of underground electrical equipment. However, at this time, PacifiCorp does not have any grid design and system hardening wildfire mitigation programs specifically focused on undergrounding of electric lines and/or equipment. </t>
  </si>
  <si>
    <t>At this time, PacifiCorp does not have any specific grid design and system hardening wildfire mitigation programs focus on updates to grid topology to minimize risk of ignition in HFTDs. PacifiCorp recognizes that, as weather patterns change and overall modeling and assessments evolve, updates to grid topology is something to continue to evaluate.
Other grid design and system hardening programs include, as a component, grid topology improvements to minimize the risk of ignition in the HFTD. Similar to the company’s grid topology improvement to mitigate or reduce PSPS events described in Section 5.3.3.8, PacifiCorp recognizes that it is challenging to mitigate wildfire risk through grid topology changes alone. Therefore, PacifiCorp focuses more on augmentation of existing circuitry through system hardening efforts included throughout Section 5.3.3.</t>
  </si>
  <si>
    <t xml:space="preserve">At this time, PacifiCorp does not have a specific asset management and inspections wildfire mitigation program focused on the infrared inspections of distribution electric lines and equipment. As a part of the company’s 2019 wildfire mitigation efforts, the use of infrared technology was applied to transmission lines which is further discussed in Section 5.3.4.4. Depending on the results of this pilot project, PacifiCorp may pursue an extension of this pilot project to include distribution lines. However, the collection methodology and quality of inspection difficulties will need to be evaluated as PacifiCorp’s distribution lines tend to be located in areas with a tree canopy, making efficient collection of valuable IR data challenging. </t>
  </si>
  <si>
    <t xml:space="preserve">Pole loading to accommodate safety factors and necessary specifications are included in PacifiCorp’s engineering and construction standards. 
At this time, PacifiCorp does not have a specific asset management and inspections wildfire mitigation program focused on pole loading assessment to determine safety factor of in-service assets. Specific pole loading assessment of in-service assets was included as a subset to the methodology of PacifiCorp’s pole replacement programs included in Section 5.3.3.6. Where appropriate, pole loading assessment of new construction has also been incorporated into the new standards developed included in Section 5.3.3.6.  
</t>
  </si>
  <si>
    <t xml:space="preserve"> PacifiCorp does not, at this time, have any other asset management and inspections wildfire mitigation programs. </t>
  </si>
  <si>
    <t>While collaboration such as this is critical to the overall reduction of wildfire risk in the state of CA, PacifiCorp, at this time, does not have a specific program dedicated to this effort. Instead, these efforts are on an as-needed basis and incorporate additional efforts to manage community environments within other programs, such as those included in Section 5.3.9 and Section 5.3.10.</t>
  </si>
  <si>
    <t>As these vegetation management specific components are critical to the success of PacifiCorp’s emergency response programs and grid operations and protocols, the emergency response vegetation management due to red flag warning or other urgent conditions is a subset and component of both the company’s general emergency response plans and the company’s grid operations and protocols wildfire mitigation program focused on personnel work procedures and training conditions of elevation fire risk. Therefore, PacifiCorp does not at this time have a specific vegetation management and inspections wildfire mitigation program focused on Emergency response vegetation management due to red flag warning or other urgent conditions. See Section 5.3.6.3 and Section 5.3.9.</t>
  </si>
  <si>
    <t xml:space="preserve">While critical to the success of PacifiCorp’s overall vegetation management and inspections wildfire mitigation strategy, the Fuel management and reduction of “slash” from vegetation management activities is a component of the company’s vegetation management to achieve clearances around electric lines and equipment. See Section 5.3.5.20. </t>
  </si>
  <si>
    <t>At this time, PacifiCorp does not have any other discretionary inspection of vegetation around transmission electric lines and equipment, beyond inspections mandated by rules and regulations, and other described programs.</t>
  </si>
  <si>
    <t>PacifiCorp’s general approach to recruiting and training of vegetation management personnel can be found in chapter 1 of the company’s Transmission and Distribution Vegetation Management Program Standard Operating Procedures manual. In general, PacifiCorp takes advantage of training that is provided by the company and arboriculture industry and issues materials as needed, such as a High Risk Tree Identification presentation created in 2019 to educate inspectors on proper identification of defective trees that have the potential to strike the facilities.
PacifiCorp at this time does not have a vegetation management and inspections wildfire mitigation program focused on recruiting and training of vegetation management personnel.</t>
  </si>
  <si>
    <t>Remediation of at-risk species is a subset to the company’s vegetation management to achieve clearances around electric lines and equipment program as it contains, as an element, the company’s practices procedures, and funding to remediate at-risk species. See Section 5.3.5.18.</t>
  </si>
  <si>
    <t>Removal and remediation of trees with strike potential to electric lines and equipment is a subset to the company’s vegetation management to achieve clearances around electric lines and equipment program as it contains, as an element, the company’s practices procedures, and funding to remove and remediate trees with strike potential to electric lines and equipment. See Section 5.3.5.18.</t>
  </si>
  <si>
    <t xml:space="preserve">PacifiCorp recognizes the importance and value of creating and maintaining a vegetation inventory system. Such a system can help to assess risk, customize vegetation management programs, and optimize task assignment and execution. PacifiCorp does not have a defined vegetation inventory system program at this time. However, the company is currently evaluating required steps, funding, and technology requirements to develop, implement, and incorporate a new tree density inventory system targeted initially within the HFTD to inform risk assessment and prioritization of efforts. PacifiCorp is prioritizing this task, intends to evaluate in 2019, and provide an update and further program details in the next annual update. </t>
  </si>
  <si>
    <t>PacifiCorp does not currently deploy crew-accompanying ignition prevention and suppression resources and services as part of its routine operational practices. When an emergency occurs, PacifiCorp communicates and collaborates with local emergency response teams as described in Section 5.3.9, which can include crew-accompanying ignition prevention and suppression resources and services. Additionally, during elevated risk conditions or during fire season, PacifiCorp leverages specific work practices and protocols and makes available specific resources and tools for use by operations personnel as included in Section 5.3.6.6. However, PacifiCorp does not currently have a specific grid operations and protocols wildfire mitigation program focused on crew-accompanying ignition prevention and suppression resources and services. As part of the annual WMP review process the use of these services will be re-evaluated and considered for future incorporation.</t>
  </si>
  <si>
    <t xml:space="preserve">PacifiCorp implemented fully throughout its systems the California High Fire Threat Map, which quantifies specific geography that under historically-viable fire weather conditions, could be subject to elevated fire risk.  It created associations between the tier designation to inform inspection, vegetation management, correction timeframes, and prioritized hardening efforts.  Wildfire risk mapping is foundational to prioritizing efforts for a variety of activities undertaken throughout the business.  With this information certain program locations can be advanced more rapidly, while other locations can be addressed later.      </t>
  </si>
  <si>
    <t xml:space="preserve">Develop methods for incorporating climate impacts into wildfire risks into system hardening (long term prioritization) as well as situational awareness (short term response) actions.  Specific climate conditions may result in elevated wildfire risk, as is experienced in southern California during Santa Ana wind conditions.  To the extent that such a phenomenon exists in PacifiCorp’s service territory, outlining the leading indicators of the condition, the probable effects and the appropriate mitigation measures is an important augmentation of the company’s WMP.   PacifiCorp develops such theories engaging peer review to ensure well-vetted rationale and reasonable outcomes.  To the extent that a climatological phenomenon is identified it would anticipate reviewing such products with audiences in venues such as the California Utility Forecasters Meeting   </t>
  </si>
  <si>
    <t>Contact from object; All types of equipment/facility failure; Wire-to-wire contact/contamination; Other</t>
  </si>
  <si>
    <t>Reduced risk due to utility ignition</t>
  </si>
  <si>
    <t>Better use of PSPS in light of equipment and weather coincidence</t>
  </si>
  <si>
    <t>New</t>
  </si>
  <si>
    <t>Exceeds current requirements</t>
  </si>
  <si>
    <t>GO95 Generally</t>
  </si>
  <si>
    <t>Improper Application of PSPS Actions</t>
  </si>
  <si>
    <t>Better informed stakeholder understanding of PSPS</t>
  </si>
  <si>
    <t>Advanced ESRB-8 and HFTD maps to quantify impacted areas; communicated with communities</t>
  </si>
  <si>
    <t xml:space="preserve">
PacifiCorp does not, at this time, have a risk assessment and mapping wildfire mitigation program focused on match drop simulations showing the potential wildfire consequence of ignitions that occur along the electric lines and equipment. 
</t>
  </si>
  <si>
    <t xml:space="preserve">
 PacifiCorp, at this time, does not have any additional risk assessment and mapping wildfire mitigation programs. 
</t>
  </si>
  <si>
    <t>Anticipate one study outcome per year, which is generally cumulative</t>
  </si>
  <si>
    <t>No specific charges developed for this plan;
Assumes annual refresh to support operational and PSPS thresholds</t>
  </si>
  <si>
    <t>New Proposed 2019</t>
  </si>
  <si>
    <t>N/A (Supports structural loading cases for regular application)</t>
  </si>
  <si>
    <t>GO95 Section IV</t>
  </si>
  <si>
    <t>Generally uses microstations with evaluation for RAWS-quality measurements</t>
  </si>
  <si>
    <t>Decreases probability of evolving situation culminating in fault event</t>
  </si>
  <si>
    <t>New Proposed 2020</t>
  </si>
  <si>
    <t>Expansion of technology contingent of successful pilot experiences</t>
  </si>
  <si>
    <t xml:space="preserve">At this time PacifiCorp has not established a plan to develop a fire risk index beyond that which it is communicated in its 2019 and 2020 WMPs.  In addition, no specific incremental spend has been identified. </t>
  </si>
  <si>
    <t xml:space="preserve">While this program is critical to facilitate situational awareness, the overall management of this program is better suited with PacifiCorp’s grid design and system hardening program focused on system automation, additional details have been included in Section 5.3.3.9. Costs and timelines for this program were outlined in Table 23, Initiative Activities 2. 
</t>
  </si>
  <si>
    <t>Minimizes PSPS impacts to customers</t>
  </si>
  <si>
    <t>ESRB-8</t>
  </si>
  <si>
    <t>in/Exceeds Regulation</t>
  </si>
  <si>
    <t>Persists approach applied during 2019 fire season; retained forecasting firm with company-establish thresholds</t>
  </si>
  <si>
    <t xml:space="preserve">At this time, PacifiCorp does not have any specific situation awarenes and forecasting programs focused not included in other programs. </t>
  </si>
  <si>
    <t>1. Centralized repository for data</t>
  </si>
  <si>
    <t>PacifiCorp, at this time, does not have a specific data governance wildfire mitigation program focused on a centralized repository for data that maps to the tracking and level of details requested in this table. Additional details regarding PacifiCorp's plan and approach are included in Section 5.3.7.1.</t>
  </si>
  <si>
    <t>2. Collaborative research on utility ignition and/or wildfire</t>
  </si>
  <si>
    <t>PacifiCorp, at this time, does not have a specific data governance wildfire mitigation program focused on a collaborative research on utility ignition and/or wildfire that maps to the tracking and level of details requested in this table. Additional details regarding PacifiCorp's plan and approach are included in Section 5.3.7.2.</t>
  </si>
  <si>
    <t>3. Documentation and disclosure of wildfire-related data and algorithms</t>
  </si>
  <si>
    <t>PacifiCorp, at this time, does not have a specific data governance wildfire mitigation program focused on a documentation and disclosure of wildfire-related data and algorithms that maps to the tracking and level of details requested in this table. Additional details regarding PacifiCorp's plan and approach are included in Section 5.3.7.3.</t>
  </si>
  <si>
    <t>PacifiCorp, at this time, does not have a specific data governance wildfire mitigation program focused on the tracking and analysis of near miss data that maps to the tracking and level of details requested in this table. Additional details regarding PacifiCorp's plan and approach are included in Section 5.3.7.4.</t>
  </si>
  <si>
    <t xml:space="preserve">PacifiCorp does not have any other data governance other wildfire mitigation programs. </t>
  </si>
  <si>
    <t>PacifiCorp implemented its HFTD mapping as well as fire threat condition programs 2019. Therefore, grid condition findings per HFTD were available in 2019. PacifiCorp has included the number of grid condition findings for 2015-2018 assuming that the HFTD zones are equivalent to those in 2019/2020. Additionally, PacifiCorp plans, tracks, and reports inspections and corrections per facility point as opposed to per line mile. However, equivalent inspection miles were extrapolated in years 2015-2019 assuming little to no changes in grid topology. While these values reflect best estimates or equivalent line-miles, slight difference may exist when comparing to other data sets. Furthermore, the evolution of PacifiCorp’s electronic database requires extrapolation when determining condition findings per inspection type. However, PacifiCorp's programmatic inspection results were generally extrapolated and categorized as either "Detailed" or "Safety" inspection results. "Other" inspection types might include the results of internal audits or administrative changes described in Section 5.3.4.14.</t>
  </si>
  <si>
    <t xml:space="preserve">While PacifiCorp's programs include clearance inspections and correction of findings, the company does not currently have an electronic database that preserves the data in a way required to answer this question. However, PacifiCorp has incorporated the need for an electronic solution into a program described in Section 5.3.5.6. </t>
  </si>
  <si>
    <t>Not limited to fire season and includes major events and potential ignition sources</t>
  </si>
  <si>
    <t>Limited to fire season and includes major events and potential ignition sources</t>
  </si>
  <si>
    <t xml:space="preserve">PacifiCorp schedules, completes, and tracks inspection performance on a "per facility" basis as opposed to a "per mile" basis.  However, equivalent inspection miles were extrapolated in years 2015-2019 assuming little to no changes in grid topology. Furthermore, PacifiCorp implemented its HFTD mapping as well as fire threat condition programs fully in 2019. PacifiCorp has attempted to interpret current day policies and apply to previous inspection and correction programs. However, sometimes this was not possible due to lack of specific data. Therefore, all data from 2015-2019 should be viewed as qualitative and not absolute.  </t>
  </si>
  <si>
    <t>PacifiCorp tracks all safety statistics including but not limited to accidental deaths, OSHA-reportable, or near misses. However, as PacifiCorp is early it its WMP implementation, it is challenging to report historic safety statistics regarding wildfire mitigation programs as requested, specifically any values prior to 2019 as these programs did not exist. Therefore, PacifiCorp was not able to populate all cells within the applicable tables.</t>
  </si>
  <si>
    <t xml:space="preserve">PacifiCorp tracks all safety statistics including but not limited to accidental deaths, OSHA-reportable, or near misses. However, as PacifiCorp is early it its WMP implementation, it is challenging to report historic safety statistics regarding wildfire mitigation programs as requested, specifically any values prior to 2019 as these programs did not exist. Therefore, PacifiCorp was not able to populate all cells within the applicable tables. </t>
  </si>
  <si>
    <t>Acreage burned is an approximate value, and is not limited to wildfire. In some cases the field references the burn area as a small fire (typically a small grass fire), these fires are often under a half acre in size. For calculation purposes, fires with this designation were calculated as a half-acre. In addition CAL FIRE fire perimeters were also evaluated for utility ignitions from 2015-2018 (2019 has yet to be released), and no utility caused outages occurred in PacifiCorp’s Service territory</t>
  </si>
  <si>
    <t xml:space="preserve">Fire locations are mapped to the best known location. Actual locations may vary given the data provided by the field.  In some cases an address was unknown and therefore the fire was mapped to the closest known outage location. </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</si>
  <si>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</si>
  <si>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221 line-miles</t>
  </si>
  <si>
    <t>Multi-year 
(4 yr)</t>
  </si>
  <si>
    <t>35 stations</t>
  </si>
  <si>
    <t>Implemented pilot project; 
100% of data collection complete</t>
  </si>
  <si>
    <t>Completed flights and collection of data</t>
  </si>
  <si>
    <t>N/A 
[No PSPS data to report]</t>
  </si>
  <si>
    <t>N/A
[No PSPS data to report]</t>
  </si>
  <si>
    <t>11c</t>
  </si>
  <si>
    <t>11d</t>
  </si>
  <si>
    <r>
      <t xml:space="preserve">Key recent drivers of ignition probability </t>
    </r>
    <r>
      <rPr>
        <u/>
        <sz val="16"/>
        <color theme="1"/>
        <rFont val="Calibri"/>
        <family val="2"/>
        <scheme val="minor"/>
      </rPr>
      <t>during fire season,</t>
    </r>
    <r>
      <rPr>
        <sz val="16"/>
        <color theme="1"/>
        <rFont val="Calibri"/>
        <family val="2"/>
        <scheme val="minor"/>
      </rPr>
      <t xml:space="preserve"> transmission lines, last 5 years</t>
    </r>
  </si>
  <si>
    <r>
      <t xml:space="preserve">Key recent drivers of ignition probability </t>
    </r>
    <r>
      <rPr>
        <u/>
        <sz val="16"/>
        <color theme="1"/>
        <rFont val="Calibri"/>
        <family val="2"/>
        <scheme val="minor"/>
      </rPr>
      <t>during fire season</t>
    </r>
    <r>
      <rPr>
        <sz val="16"/>
        <color theme="1"/>
        <rFont val="Calibri"/>
        <family val="2"/>
        <scheme val="minor"/>
      </rPr>
      <t>, distribution lines, last 5 years</t>
    </r>
  </si>
  <si>
    <t>Number of instances where utility operating
protocol requires de-energization of a circuit or portion thereof in order to reduce ignition
probability, per RFW circuit mile day per year</t>
  </si>
  <si>
    <t>Circuit-events, measured in number of events
multiplied by number of circuits de-energized per year</t>
  </si>
  <si>
    <t>Key drivers of ignition probability - transmission</t>
  </si>
  <si>
    <t>Key drivers of ignition probability – distribution</t>
  </si>
  <si>
    <t>18c</t>
  </si>
  <si>
    <r>
      <t xml:space="preserve">Key drivers of ignition probability </t>
    </r>
    <r>
      <rPr>
        <u/>
        <sz val="11"/>
        <color theme="1"/>
        <rFont val="Calibri"/>
        <family val="2"/>
        <scheme val="minor"/>
      </rPr>
      <t>during fire season</t>
    </r>
    <r>
      <rPr>
        <sz val="11"/>
        <color theme="1"/>
        <rFont val="Calibri"/>
        <family val="2"/>
        <scheme val="minor"/>
      </rPr>
      <t xml:space="preserve"> – transmission</t>
    </r>
  </si>
  <si>
    <t>18d</t>
  </si>
  <si>
    <r>
      <t xml:space="preserve">Key drivers of ignition probability </t>
    </r>
    <r>
      <rPr>
        <u/>
        <sz val="11"/>
        <color theme="1"/>
        <rFont val="Calibri"/>
        <family val="2"/>
        <scheme val="minor"/>
      </rPr>
      <t>during fire season</t>
    </r>
    <r>
      <rPr>
        <sz val="11"/>
        <color theme="1"/>
        <rFont val="Calibri"/>
        <family val="2"/>
        <scheme val="minor"/>
      </rPr>
      <t xml:space="preserve"> – distribution</t>
    </r>
  </si>
  <si>
    <t>All - Regardless of cause, this program reduces that potential that a fault scenario results in an ignition event</t>
  </si>
  <si>
    <t>Multi-year
(4 yr)</t>
  </si>
  <si>
    <t>1,170 line miles</t>
  </si>
  <si>
    <t>100% in 2019</t>
  </si>
  <si>
    <t>15,060 poles</t>
  </si>
  <si>
    <t>14,132 poles expanded program in 2019,
full program in 2020</t>
  </si>
  <si>
    <t>94% in 2019</t>
  </si>
  <si>
    <t xml:space="preserve">Additional resources deployed during elevated fire risk conditions is captured in section 5.3.6.3. </t>
  </si>
  <si>
    <t>2. Risk reduction scenario development and analysis</t>
  </si>
  <si>
    <t>Reduces risk of escalation through  support of  accelerated restoration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</si>
</sst>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0.000"/>
    <numFmt numFmtId="166" formatCode="0.0"/>
    <numFmt numFmtId="167" formatCode="0.0%"/>
    <numFmt numFmtId="168" formatCode="&quot;$&quot;#,##0.00"/>
    <numFmt numFmtId="169" formatCode="0.00_);[Red]\(0.00\)"/>
    <numFmt numFmtId="170" formatCode="0.0000"/>
    <numFmt numFmtId="171" formatCode="#,##0.000"/>
  </numFmts>
  <fonts count="32" x14ac:knownFonts="1">
    <font>
      <sz val="11"/>
      <color theme="1"/>
      <name val="Calibri"/>
      <family val="2"/>
      <scheme val="minor"/>
    </font>
    <font>
      <sz val="9"/>
      <color theme="1"/>
      <name val="Calibri"/>
      <family val="2"/>
      <scheme val="minor"/>
    </font>
    <font>
      <sz val="8"/>
      <color theme="1"/>
      <name val="Calibri"/>
      <family val="2"/>
      <scheme val="minor"/>
    </font>
    <font>
      <b/>
      <sz val="8"/>
      <color rgb="FF231F20"/>
      <name val="Calibri"/>
      <family val="2"/>
      <scheme val="minor"/>
    </font>
    <font>
      <sz val="8"/>
      <color rgb="FF231F20"/>
      <name val="Calibri"/>
      <family val="2"/>
      <scheme val="minor"/>
    </font>
    <font>
      <sz val="8"/>
      <color rgb="FF000000"/>
      <name val="Calibri"/>
      <family val="2"/>
      <scheme val="minor"/>
    </font>
    <font>
      <b/>
      <sz val="20"/>
      <color theme="1"/>
      <name val="Calibri"/>
      <family val="2"/>
      <scheme val="minor"/>
    </font>
    <font>
      <sz val="7"/>
      <color rgb="FF000000"/>
      <name val="Calibri"/>
      <family val="2"/>
      <scheme val="minor"/>
    </font>
    <font>
      <sz val="11"/>
      <color rgb="FF000000"/>
      <name val="Calibri"/>
      <family val="2"/>
      <scheme val="minor"/>
    </font>
    <font>
      <b/>
      <sz val="10"/>
      <color rgb="FF231F20"/>
      <name val="Calibri"/>
      <family val="2"/>
      <scheme val="minor"/>
    </font>
    <font>
      <sz val="10"/>
      <color theme="1"/>
      <name val="Calibri"/>
      <family val="2"/>
      <scheme val="minor"/>
    </font>
    <font>
      <sz val="10"/>
      <color rgb="FF231F20"/>
      <name val="Calibri"/>
      <family val="2"/>
      <scheme val="minor"/>
    </font>
    <font>
      <sz val="6.5"/>
      <color rgb="FF231F20"/>
      <name val="Calibri"/>
      <family val="2"/>
      <scheme val="minor"/>
    </font>
    <font>
      <i/>
      <sz val="11"/>
      <color theme="1"/>
      <name val="Calibri"/>
      <family val="2"/>
      <scheme val="minor"/>
    </font>
    <font>
      <i/>
      <sz val="10"/>
      <color rgb="FF231F20"/>
      <name val="Calibri"/>
      <family val="2"/>
      <scheme val="minor"/>
    </font>
    <font>
      <i/>
      <sz val="10"/>
      <color theme="1"/>
      <name val="Calibri"/>
      <family val="2"/>
      <scheme val="minor"/>
    </font>
    <font>
      <b/>
      <sz val="11"/>
      <color theme="1"/>
      <name val="Calibri"/>
      <family val="2"/>
      <scheme val="minor"/>
    </font>
    <font>
      <sz val="11"/>
      <name val="Calibri"/>
      <family val="2"/>
      <scheme val="minor"/>
    </font>
    <font>
      <sz val="7"/>
      <color theme="1"/>
      <name val="Calibri"/>
      <family val="2"/>
      <scheme val="minor"/>
    </font>
    <font>
      <strike/>
      <sz val="11"/>
      <color theme="1"/>
      <name val="Calibri"/>
      <family val="2"/>
      <scheme val="minor"/>
    </font>
    <font>
      <sz val="8"/>
      <name val="Calibri"/>
      <family val="2"/>
      <scheme val="minor"/>
    </font>
    <font>
      <sz val="11"/>
      <color rgb="FFFF0000"/>
      <name val="Calibri"/>
      <family val="2"/>
      <scheme val="minor"/>
    </font>
    <font>
      <sz val="8"/>
      <color rgb="FF000000"/>
      <name val="Calibri"/>
      <family val="2"/>
    </font>
    <font>
      <sz val="10"/>
      <color rgb="FF000000"/>
      <name val="Calibri"/>
      <family val="2"/>
      <scheme val="minor"/>
    </font>
    <font>
      <sz val="11"/>
      <color theme="1"/>
      <name val="Calibri"/>
      <family val="2"/>
      <scheme val="minor"/>
    </font>
    <font>
      <sz val="9"/>
      <color rgb="FF000000"/>
      <name val="Calibri"/>
      <family val="2"/>
      <scheme val="minor"/>
    </font>
    <font>
      <sz val="9"/>
      <name val="Calibri"/>
      <family val="2"/>
      <scheme val="minor"/>
    </font>
    <font>
      <sz val="14"/>
      <color theme="1"/>
      <name val="Calibri"/>
      <family val="2"/>
      <scheme val="minor"/>
    </font>
    <font>
      <sz val="16"/>
      <color theme="1"/>
      <name val="Calibri"/>
      <family val="2"/>
      <scheme val="minor"/>
    </font>
    <font>
      <u/>
      <sz val="16"/>
      <color theme="1"/>
      <name val="Calibri"/>
      <family val="2"/>
      <scheme val="minor"/>
    </font>
    <font>
      <u/>
      <sz val="11"/>
      <color theme="1"/>
      <name val="Calibri"/>
      <family val="2"/>
      <scheme val="minor"/>
    </font>
    <font>
      <sz val="6"/>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E7E6E6"/>
        <bgColor indexed="64"/>
      </patternFill>
    </fill>
    <fill>
      <patternFill patternType="solid">
        <fgColor rgb="FFD9D9D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FFF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rgb="FF231F20"/>
      </left>
      <right style="thin">
        <color rgb="FF231F20"/>
      </right>
      <top style="thin">
        <color rgb="FF231F20"/>
      </top>
      <bottom/>
      <diagonal/>
    </border>
    <border>
      <left style="thin">
        <color rgb="FF231F20"/>
      </left>
      <right style="thin">
        <color rgb="FF231F20"/>
      </right>
      <top style="thin">
        <color rgb="FF231F20"/>
      </top>
      <bottom style="thin">
        <color rgb="FF231F20"/>
      </bottom>
      <diagonal/>
    </border>
    <border>
      <left style="thin">
        <color rgb="FF231F20"/>
      </left>
      <right style="thin">
        <color rgb="FF231F20"/>
      </right>
      <top/>
      <bottom style="thin">
        <color rgb="FF231F20"/>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rgb="FF231F20"/>
      </left>
      <right style="thin">
        <color rgb="FF231F20"/>
      </right>
      <top/>
      <bottom/>
      <diagonal/>
    </border>
    <border>
      <left/>
      <right style="thin">
        <color rgb="FF231F20"/>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4">
    <xf numFmtId="0" fontId="0" fillId="0" borderId="0"/>
    <xf numFmtId="9"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cellStyleXfs>
  <cellXfs count="341">
    <xf numFmtId="0" fontId="0" fillId="0" borderId="0" xfId="0"/>
    <xf numFmtId="0" fontId="0" fillId="0" borderId="0" xfId="0" applyAlignment="1">
      <alignment horizontal="center"/>
    </xf>
    <xf numFmtId="0" fontId="4" fillId="0" borderId="3" xfId="0" applyFont="1" applyBorder="1" applyAlignment="1">
      <alignmen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0" xfId="0" applyFont="1"/>
    <xf numFmtId="0" fontId="6" fillId="0" borderId="0" xfId="0" applyFont="1"/>
    <xf numFmtId="0" fontId="0" fillId="0" borderId="0" xfId="0" applyAlignment="1">
      <alignment wrapText="1"/>
    </xf>
    <xf numFmtId="0" fontId="5" fillId="5"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4" fillId="0" borderId="1" xfId="0" applyFont="1" applyBorder="1" applyAlignment="1">
      <alignmen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xf>
    <xf numFmtId="0" fontId="0" fillId="0" borderId="0" xfId="0" applyAlignment="1">
      <alignment horizontal="left"/>
    </xf>
    <xf numFmtId="0" fontId="9" fillId="3" borderId="3" xfId="0" applyFont="1" applyFill="1" applyBorder="1" applyAlignment="1">
      <alignment horizontal="left" vertical="center" wrapText="1" indent="4"/>
    </xf>
    <xf numFmtId="0" fontId="9"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2" fillId="0" borderId="3" xfId="0" applyFont="1" applyBorder="1" applyAlignment="1">
      <alignment vertical="top" wrapText="1"/>
    </xf>
    <xf numFmtId="0" fontId="2" fillId="0" borderId="0" xfId="0" applyFont="1"/>
    <xf numFmtId="0" fontId="9" fillId="3" borderId="3" xfId="0" applyFont="1" applyFill="1" applyBorder="1" applyAlignment="1">
      <alignment horizontal="left" vertical="center" wrapText="1" indent="8"/>
    </xf>
    <xf numFmtId="0" fontId="9" fillId="3" borderId="3" xfId="0" applyFont="1" applyFill="1" applyBorder="1" applyAlignment="1">
      <alignment horizontal="left" vertical="center" wrapText="1" indent="1"/>
    </xf>
    <xf numFmtId="0" fontId="9" fillId="3" borderId="3" xfId="0" applyFont="1" applyFill="1" applyBorder="1" applyAlignment="1">
      <alignment horizontal="left" vertical="center" wrapText="1" indent="2"/>
    </xf>
    <xf numFmtId="0" fontId="0" fillId="0" borderId="3" xfId="0" applyBorder="1" applyAlignment="1">
      <alignment vertical="center" wrapText="1"/>
    </xf>
    <xf numFmtId="0" fontId="11" fillId="2" borderId="3"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0" fontId="16" fillId="0" borderId="0" xfId="0" applyFont="1"/>
    <xf numFmtId="0" fontId="5" fillId="0" borderId="1" xfId="0" applyFont="1" applyBorder="1" applyAlignment="1">
      <alignment horizontal="left"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Alignment="1">
      <alignment textRotation="180" wrapText="1"/>
    </xf>
    <xf numFmtId="0" fontId="2" fillId="2" borderId="1" xfId="0" applyFont="1" applyFill="1" applyBorder="1" applyAlignment="1">
      <alignment horizontal="right" vertical="top" textRotation="180" wrapText="1"/>
    </xf>
    <xf numFmtId="0" fontId="2" fillId="0" borderId="1" xfId="0" applyFont="1" applyBorder="1" applyAlignment="1">
      <alignment horizontal="left" wrapText="1"/>
    </xf>
    <xf numFmtId="0" fontId="1" fillId="2" borderId="1" xfId="0" applyFont="1" applyFill="1" applyBorder="1" applyAlignment="1">
      <alignment horizontal="center" wrapText="1"/>
    </xf>
    <xf numFmtId="0" fontId="0" fillId="7" borderId="0" xfId="0" applyFill="1" applyAlignment="1">
      <alignment horizontal="center"/>
    </xf>
    <xf numFmtId="0" fontId="0" fillId="7" borderId="0" xfId="0" applyFill="1"/>
    <xf numFmtId="0" fontId="17" fillId="7" borderId="0" xfId="0" applyFont="1" applyFill="1"/>
    <xf numFmtId="0" fontId="6" fillId="7" borderId="0" xfId="0" applyFont="1" applyFill="1"/>
    <xf numFmtId="0" fontId="0" fillId="7" borderId="0" xfId="0" applyFill="1" applyAlignment="1">
      <alignment horizontal="left"/>
    </xf>
    <xf numFmtId="0" fontId="0" fillId="7" borderId="0" xfId="0" applyFont="1" applyFill="1"/>
    <xf numFmtId="0" fontId="5" fillId="7" borderId="1" xfId="0" applyFont="1" applyFill="1" applyBorder="1" applyAlignment="1">
      <alignment vertical="center" wrapText="1"/>
    </xf>
    <xf numFmtId="0" fontId="0" fillId="7" borderId="0" xfId="0" applyFill="1" applyAlignment="1">
      <alignment textRotation="180" wrapText="1"/>
    </xf>
    <xf numFmtId="0" fontId="0" fillId="7" borderId="0" xfId="0" applyFill="1" applyAlignment="1">
      <alignment wrapText="1"/>
    </xf>
    <xf numFmtId="0" fontId="0" fillId="7" borderId="0" xfId="0" applyFont="1" applyFill="1" applyAlignment="1">
      <alignment horizontal="left"/>
    </xf>
    <xf numFmtId="0" fontId="2" fillId="7" borderId="1" xfId="0" applyFont="1" applyFill="1" applyBorder="1" applyAlignment="1">
      <alignment horizontal="center" wrapText="1"/>
    </xf>
    <xf numFmtId="164" fontId="2" fillId="7" borderId="1" xfId="0" applyNumberFormat="1" applyFont="1" applyFill="1" applyBorder="1" applyAlignment="1">
      <alignment horizontal="center" wrapText="1"/>
    </xf>
    <xf numFmtId="3" fontId="2" fillId="7" borderId="1" xfId="0" applyNumberFormat="1" applyFont="1" applyFill="1" applyBorder="1" applyAlignment="1">
      <alignment horizontal="center" wrapText="1"/>
    </xf>
    <xf numFmtId="0" fontId="5"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1" xfId="0" applyFont="1" applyFill="1" applyBorder="1" applyAlignment="1">
      <alignment vertical="top" wrapText="1"/>
    </xf>
    <xf numFmtId="0" fontId="5" fillId="7" borderId="1" xfId="0" applyFont="1" applyFill="1" applyBorder="1" applyAlignment="1">
      <alignment horizontal="left" vertical="center" wrapText="1"/>
    </xf>
    <xf numFmtId="0" fontId="5" fillId="8"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3" xfId="0" applyFont="1" applyFill="1" applyBorder="1" applyAlignment="1">
      <alignment horizontal="center" vertical="center" wrapText="1"/>
    </xf>
    <xf numFmtId="3" fontId="2" fillId="7" borderId="1" xfId="0" applyNumberFormat="1"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6" fontId="2" fillId="7" borderId="1" xfId="0" applyNumberFormat="1" applyFont="1" applyFill="1" applyBorder="1" applyAlignment="1">
      <alignment horizontal="center" vertical="center" wrapText="1"/>
    </xf>
    <xf numFmtId="164" fontId="5" fillId="7" borderId="1" xfId="0" applyNumberFormat="1" applyFont="1" applyFill="1" applyBorder="1" applyAlignment="1">
      <alignment horizontal="center" vertical="center"/>
    </xf>
    <xf numFmtId="0" fontId="5" fillId="7" borderId="3" xfId="0" applyFont="1" applyFill="1" applyBorder="1" applyAlignment="1">
      <alignment horizontal="center" vertical="center" wrapText="1"/>
    </xf>
    <xf numFmtId="2" fontId="5" fillId="7" borderId="1" xfId="0" applyNumberFormat="1" applyFont="1" applyFill="1" applyBorder="1" applyAlignment="1">
      <alignment horizontal="center" vertical="center" wrapText="1"/>
    </xf>
    <xf numFmtId="164" fontId="2" fillId="7" borderId="21" xfId="0" applyNumberFormat="1" applyFont="1" applyFill="1" applyBorder="1" applyAlignment="1">
      <alignment horizontal="center" wrapText="1"/>
    </xf>
    <xf numFmtId="3" fontId="22" fillId="7" borderId="1" xfId="0" applyNumberFormat="1" applyFont="1" applyFill="1" applyBorder="1" applyAlignment="1">
      <alignment horizontal="center" vertical="center" wrapText="1"/>
    </xf>
    <xf numFmtId="3" fontId="2" fillId="7" borderId="12" xfId="0" applyNumberFormat="1" applyFont="1" applyFill="1" applyBorder="1" applyAlignment="1">
      <alignment horizontal="center" vertical="center" wrapText="1"/>
    </xf>
    <xf numFmtId="164" fontId="2" fillId="7" borderId="21" xfId="0" applyNumberFormat="1" applyFont="1" applyFill="1" applyBorder="1" applyAlignment="1">
      <alignment horizontal="center" vertical="center" wrapText="1"/>
    </xf>
    <xf numFmtId="1" fontId="0" fillId="7" borderId="0" xfId="0" applyNumberFormat="1" applyFill="1"/>
    <xf numFmtId="0" fontId="5" fillId="7" borderId="3" xfId="0"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0" fontId="5" fillId="0" borderId="1"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1" fillId="0" borderId="5" xfId="0" applyFont="1" applyBorder="1" applyAlignment="1">
      <alignment vertical="center" wrapText="1"/>
    </xf>
    <xf numFmtId="0" fontId="11" fillId="0" borderId="7" xfId="0" applyFont="1" applyBorder="1" applyAlignment="1">
      <alignment vertical="center" wrapText="1"/>
    </xf>
    <xf numFmtId="0" fontId="9" fillId="3" borderId="2" xfId="0" applyFont="1" applyFill="1" applyBorder="1" applyAlignment="1">
      <alignment horizontal="center" vertical="center" wrapText="1"/>
    </xf>
    <xf numFmtId="3" fontId="11"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9" fillId="2" borderId="2"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9" fillId="3" borderId="3" xfId="0" applyFont="1" applyFill="1" applyBorder="1" applyAlignment="1">
      <alignment horizontal="center" vertical="center" wrapText="1"/>
    </xf>
    <xf numFmtId="0" fontId="10" fillId="0" borderId="0" xfId="0" applyFont="1"/>
    <xf numFmtId="0" fontId="23" fillId="7" borderId="3" xfId="0" applyFont="1" applyFill="1" applyBorder="1" applyAlignment="1">
      <alignment horizontal="center" vertical="center" wrapText="1"/>
    </xf>
    <xf numFmtId="0" fontId="23" fillId="7" borderId="3" xfId="0" applyFont="1" applyFill="1" applyBorder="1" applyAlignment="1">
      <alignment horizontal="center" vertical="center"/>
    </xf>
    <xf numFmtId="49" fontId="23" fillId="7" borderId="3" xfId="0" applyNumberFormat="1" applyFont="1" applyFill="1" applyBorder="1" applyAlignment="1">
      <alignment horizontal="center" vertical="center"/>
    </xf>
    <xf numFmtId="0" fontId="11"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textRotation="180" wrapText="1"/>
    </xf>
    <xf numFmtId="0" fontId="10" fillId="0" borderId="1" xfId="0" applyFont="1" applyBorder="1" applyAlignment="1">
      <alignment horizontal="left" vertical="center" wrapText="1"/>
    </xf>
    <xf numFmtId="0" fontId="10" fillId="0" borderId="1" xfId="0" applyFont="1" applyBorder="1"/>
    <xf numFmtId="168" fontId="5" fillId="7" borderId="1"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0" fontId="25" fillId="5" borderId="1" xfId="0" applyFont="1" applyFill="1" applyBorder="1" applyAlignment="1">
      <alignment horizontal="center" vertical="center" wrapText="1"/>
    </xf>
    <xf numFmtId="0" fontId="25" fillId="0" borderId="1" xfId="0" applyFont="1" applyBorder="1" applyAlignment="1">
      <alignment horizontal="center" vertical="center" wrapText="1"/>
    </xf>
    <xf numFmtId="9" fontId="25"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37" fontId="5" fillId="7" borderId="1" xfId="2" applyNumberFormat="1" applyFont="1" applyFill="1" applyBorder="1" applyAlignment="1">
      <alignment horizontal="center" vertical="center" wrapText="1"/>
    </xf>
    <xf numFmtId="2" fontId="5" fillId="7" borderId="1" xfId="0" applyNumberFormat="1" applyFont="1" applyFill="1" applyBorder="1" applyAlignment="1">
      <alignment horizontal="center" vertical="center"/>
    </xf>
    <xf numFmtId="169" fontId="5" fillId="7" borderId="1" xfId="0" applyNumberFormat="1" applyFont="1" applyFill="1" applyBorder="1" applyAlignment="1">
      <alignment horizontal="center" vertical="center"/>
    </xf>
    <xf numFmtId="0" fontId="5" fillId="7" borderId="1" xfId="0" applyFont="1" applyFill="1" applyBorder="1" applyAlignment="1">
      <alignment vertical="center"/>
    </xf>
    <xf numFmtId="169" fontId="5" fillId="7" borderId="1" xfId="2" applyNumberFormat="1" applyFont="1" applyFill="1" applyBorder="1" applyAlignment="1">
      <alignment horizontal="center" vertical="center"/>
    </xf>
    <xf numFmtId="2" fontId="5" fillId="0" borderId="1" xfId="2" applyNumberFormat="1" applyFont="1" applyFill="1" applyBorder="1" applyAlignment="1">
      <alignment horizontal="center" vertical="center"/>
    </xf>
    <xf numFmtId="2" fontId="5" fillId="7" borderId="1" xfId="2" applyNumberFormat="1"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3" xfId="0" applyFont="1" applyFill="1" applyBorder="1" applyAlignment="1">
      <alignment horizontal="center"/>
    </xf>
    <xf numFmtId="0" fontId="5" fillId="7" borderId="3" xfId="0" applyFont="1" applyFill="1" applyBorder="1" applyAlignment="1">
      <alignment horizontal="center" vertical="center"/>
    </xf>
    <xf numFmtId="9" fontId="5" fillId="7" borderId="3" xfId="0" applyNumberFormat="1"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1" xfId="0" applyFont="1" applyFill="1" applyBorder="1" applyAlignment="1">
      <alignment horizontal="left" vertical="center" wrapText="1"/>
    </xf>
    <xf numFmtId="0" fontId="26" fillId="7" borderId="1" xfId="0" applyFont="1" applyFill="1" applyBorder="1" applyAlignment="1">
      <alignment horizontal="left" vertical="center"/>
    </xf>
    <xf numFmtId="0" fontId="26" fillId="7" borderId="1" xfId="0" applyFont="1" applyFill="1" applyBorder="1" applyAlignment="1">
      <alignment wrapText="1"/>
    </xf>
    <xf numFmtId="0" fontId="0" fillId="8" borderId="3"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7" borderId="3" xfId="0"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5" borderId="1" xfId="0" applyFont="1" applyFill="1" applyBorder="1" applyAlignment="1">
      <alignment horizontal="center" vertical="center" wrapText="1"/>
    </xf>
    <xf numFmtId="2" fontId="0" fillId="0" borderId="0" xfId="0" applyNumberFormat="1"/>
    <xf numFmtId="170" fontId="5" fillId="7" borderId="1" xfId="0" applyNumberFormat="1" applyFont="1" applyFill="1" applyBorder="1" applyAlignment="1">
      <alignment horizontal="center" vertical="center"/>
    </xf>
    <xf numFmtId="0" fontId="5" fillId="0" borderId="1" xfId="0" applyFont="1" applyFill="1" applyBorder="1" applyAlignment="1">
      <alignment vertical="center" wrapText="1"/>
    </xf>
    <xf numFmtId="37" fontId="20" fillId="7" borderId="1" xfId="2" applyNumberFormat="1" applyFont="1" applyFill="1" applyBorder="1" applyAlignment="1">
      <alignment horizontal="center" vertical="center" wrapText="1"/>
    </xf>
    <xf numFmtId="0" fontId="20" fillId="7" borderId="1" xfId="0" applyFont="1" applyFill="1" applyBorder="1" applyAlignment="1">
      <alignment horizontal="center" vertical="center" wrapText="1"/>
    </xf>
    <xf numFmtId="171" fontId="5" fillId="7" borderId="1" xfId="0" applyNumberFormat="1" applyFont="1" applyFill="1" applyBorder="1" applyAlignment="1">
      <alignment horizontal="center" vertical="center"/>
    </xf>
    <xf numFmtId="171" fontId="20" fillId="7" borderId="1" xfId="0" applyNumberFormat="1" applyFont="1" applyFill="1" applyBorder="1" applyAlignment="1">
      <alignment horizontal="center" vertical="center"/>
    </xf>
    <xf numFmtId="1" fontId="5" fillId="7" borderId="1" xfId="0" applyNumberFormat="1" applyFont="1" applyFill="1" applyBorder="1" applyAlignment="1">
      <alignment horizontal="center" vertical="center" wrapText="1"/>
    </xf>
    <xf numFmtId="38" fontId="5" fillId="7" borderId="1" xfId="0" applyNumberFormat="1" applyFont="1" applyFill="1" applyBorder="1" applyAlignment="1">
      <alignment horizontal="center" vertical="center"/>
    </xf>
    <xf numFmtId="38" fontId="5" fillId="7" borderId="1" xfId="2" applyNumberFormat="1" applyFont="1" applyFill="1" applyBorder="1" applyAlignment="1">
      <alignment horizontal="center" vertical="center"/>
    </xf>
    <xf numFmtId="40" fontId="5" fillId="7" borderId="1" xfId="2" applyNumberFormat="1" applyFont="1" applyFill="1" applyBorder="1" applyAlignment="1">
      <alignment horizontal="center" vertical="center"/>
    </xf>
    <xf numFmtId="0" fontId="5" fillId="7" borderId="1" xfId="0" applyNumberFormat="1" applyFont="1" applyFill="1" applyBorder="1" applyAlignment="1">
      <alignment horizontal="center" vertical="center" wrapText="1"/>
    </xf>
    <xf numFmtId="0" fontId="8" fillId="7" borderId="1" xfId="0" applyNumberFormat="1" applyFont="1" applyFill="1" applyBorder="1" applyAlignment="1">
      <alignment horizontal="center" vertical="center" wrapText="1"/>
    </xf>
    <xf numFmtId="3" fontId="2" fillId="7" borderId="3" xfId="2" applyNumberFormat="1" applyFont="1" applyFill="1" applyBorder="1" applyAlignment="1">
      <alignment horizontal="center" vertical="center" wrapText="1"/>
    </xf>
    <xf numFmtId="3" fontId="2" fillId="7" borderId="3"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170" fontId="11" fillId="0" borderId="1" xfId="2" applyNumberFormat="1" applyFont="1" applyFill="1" applyBorder="1" applyAlignment="1">
      <alignment horizontal="center" vertical="center" wrapText="1"/>
    </xf>
    <xf numFmtId="170" fontId="11" fillId="0" borderId="1" xfId="0" applyNumberFormat="1" applyFont="1" applyBorder="1" applyAlignment="1">
      <alignment horizontal="center" vertical="center" wrapText="1"/>
    </xf>
    <xf numFmtId="170" fontId="11" fillId="0" borderId="1" xfId="2" applyNumberFormat="1" applyFont="1" applyBorder="1" applyAlignment="1">
      <alignment horizontal="center" vertical="center" wrapText="1"/>
    </xf>
    <xf numFmtId="0" fontId="5" fillId="7" borderId="3" xfId="0" applyFont="1" applyFill="1" applyBorder="1" applyAlignment="1">
      <alignment horizontal="center" wrapText="1"/>
    </xf>
    <xf numFmtId="0" fontId="5" fillId="7" borderId="3" xfId="0" applyFont="1" applyFill="1" applyBorder="1" applyAlignment="1">
      <alignment horizontal="center"/>
    </xf>
    <xf numFmtId="0" fontId="11" fillId="7" borderId="3" xfId="0" applyFont="1" applyFill="1" applyBorder="1" applyAlignment="1">
      <alignment vertical="center" wrapText="1"/>
    </xf>
    <xf numFmtId="0" fontId="10" fillId="7" borderId="3" xfId="0" applyFont="1" applyFill="1" applyBorder="1" applyAlignment="1">
      <alignment vertical="center" wrapText="1"/>
    </xf>
    <xf numFmtId="0" fontId="5" fillId="0" borderId="1" xfId="0" applyFont="1" applyFill="1" applyBorder="1" applyAlignment="1">
      <alignment vertical="center" wrapText="1"/>
    </xf>
    <xf numFmtId="0" fontId="25" fillId="0" borderId="1" xfId="0" applyFont="1" applyBorder="1" applyAlignment="1">
      <alignment horizontal="center" vertical="center" wrapText="1"/>
    </xf>
    <xf numFmtId="0" fontId="25" fillId="0" borderId="11" xfId="0" applyFont="1" applyBorder="1" applyAlignment="1">
      <alignment horizontal="center" vertical="center" wrapText="1"/>
    </xf>
    <xf numFmtId="9" fontId="25" fillId="0" borderId="1" xfId="0" applyNumberFormat="1" applyFont="1" applyBorder="1" applyAlignment="1">
      <alignment horizontal="center" vertical="center" wrapText="1"/>
    </xf>
    <xf numFmtId="0" fontId="21" fillId="7" borderId="0" xfId="0" applyFont="1" applyFill="1"/>
    <xf numFmtId="0" fontId="5" fillId="0" borderId="3" xfId="0" applyFont="1" applyBorder="1" applyAlignment="1">
      <alignment horizontal="left" vertical="center" wrapText="1"/>
    </xf>
    <xf numFmtId="0" fontId="13" fillId="7" borderId="9" xfId="0" applyFont="1" applyFill="1" applyBorder="1" applyAlignment="1">
      <alignment horizontal="center"/>
    </xf>
    <xf numFmtId="0" fontId="14" fillId="7" borderId="9"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5" fillId="7" borderId="9" xfId="0" applyFont="1" applyFill="1" applyBorder="1" applyAlignment="1">
      <alignment horizontal="center" wrapText="1"/>
    </xf>
    <xf numFmtId="0" fontId="16" fillId="7" borderId="0" xfId="0" applyFont="1" applyFill="1"/>
    <xf numFmtId="0" fontId="2" fillId="7" borderId="0" xfId="0" applyFont="1" applyFill="1"/>
    <xf numFmtId="0" fontId="2" fillId="7" borderId="0" xfId="0" applyFont="1" applyFill="1" applyAlignment="1">
      <alignment wrapText="1"/>
    </xf>
    <xf numFmtId="1" fontId="10" fillId="0" borderId="1" xfId="0" applyNumberFormat="1" applyFont="1" applyFill="1" applyBorder="1" applyAlignment="1">
      <alignment horizontal="center" wrapText="1"/>
    </xf>
    <xf numFmtId="9" fontId="10" fillId="0" borderId="1" xfId="1" applyNumberFormat="1" applyFont="1" applyFill="1" applyBorder="1" applyAlignment="1">
      <alignment horizontal="center" wrapText="1"/>
    </xf>
    <xf numFmtId="1" fontId="10" fillId="0" borderId="1" xfId="0" applyNumberFormat="1" applyFont="1" applyFill="1" applyBorder="1" applyAlignment="1">
      <alignment horizontal="center"/>
    </xf>
    <xf numFmtId="0" fontId="2" fillId="7" borderId="0" xfId="0" applyFont="1" applyFill="1" applyAlignment="1">
      <alignment horizontal="center"/>
    </xf>
    <xf numFmtId="0" fontId="10" fillId="7" borderId="0" xfId="0" applyFont="1" applyFill="1"/>
    <xf numFmtId="0" fontId="27" fillId="7" borderId="0" xfId="0" applyFont="1" applyFill="1"/>
    <xf numFmtId="0" fontId="27" fillId="7" borderId="0" xfId="0" applyFont="1" applyFill="1" applyAlignment="1">
      <alignment horizontal="left"/>
    </xf>
    <xf numFmtId="0" fontId="28" fillId="7" borderId="0" xfId="0" applyFont="1" applyFill="1"/>
    <xf numFmtId="0" fontId="28" fillId="7" borderId="0" xfId="0" applyFont="1" applyFill="1" applyAlignment="1">
      <alignment horizontal="left"/>
    </xf>
    <xf numFmtId="0" fontId="10" fillId="7"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10" fillId="7" borderId="1" xfId="0" applyFont="1" applyFill="1" applyBorder="1"/>
    <xf numFmtId="0" fontId="28" fillId="7" borderId="0" xfId="0" applyFont="1" applyFill="1" applyAlignment="1">
      <alignment wrapText="1"/>
    </xf>
    <xf numFmtId="1" fontId="10" fillId="7" borderId="1" xfId="0" applyNumberFormat="1" applyFont="1" applyFill="1" applyBorder="1" applyAlignment="1">
      <alignment horizontal="center" wrapText="1"/>
    </xf>
    <xf numFmtId="9" fontId="10" fillId="7" borderId="1" xfId="1" applyNumberFormat="1" applyFont="1" applyFill="1" applyBorder="1" applyAlignment="1">
      <alignment horizontal="center" wrapText="1"/>
    </xf>
    <xf numFmtId="1" fontId="10" fillId="7" borderId="1" xfId="0" applyNumberFormat="1" applyFont="1" applyFill="1" applyBorder="1" applyAlignment="1">
      <alignment horizontal="center"/>
    </xf>
    <xf numFmtId="167" fontId="0" fillId="7" borderId="0" xfId="0" applyNumberFormat="1" applyFill="1"/>
    <xf numFmtId="0" fontId="10" fillId="0" borderId="3" xfId="0" applyFont="1" applyBorder="1" applyAlignment="1">
      <alignment horizontal="left" vertical="center" wrapText="1"/>
    </xf>
    <xf numFmtId="166" fontId="2" fillId="0" borderId="3" xfId="0" applyNumberFormat="1" applyFont="1" applyFill="1" applyBorder="1" applyAlignment="1">
      <alignment horizontal="center" vertical="center" wrapText="1"/>
    </xf>
    <xf numFmtId="166" fontId="5" fillId="0" borderId="3" xfId="0" applyNumberFormat="1" applyFont="1" applyFill="1" applyBorder="1" applyAlignment="1">
      <alignment horizontal="center" vertical="center" wrapText="1"/>
    </xf>
    <xf numFmtId="167" fontId="2" fillId="0" borderId="3" xfId="1" applyNumberFormat="1" applyFont="1" applyFill="1" applyBorder="1" applyAlignment="1">
      <alignment horizontal="center" vertical="center" wrapText="1"/>
    </xf>
    <xf numFmtId="0" fontId="11" fillId="7" borderId="3" xfId="0" applyFont="1" applyFill="1" applyBorder="1" applyAlignment="1">
      <alignment horizontal="left" vertical="center" wrapText="1"/>
    </xf>
    <xf numFmtId="5" fontId="2" fillId="7" borderId="1" xfId="3" applyNumberFormat="1" applyFont="1" applyFill="1" applyBorder="1" applyAlignment="1">
      <alignment horizontal="center" wrapText="1"/>
    </xf>
    <xf numFmtId="5" fontId="2" fillId="7" borderId="1" xfId="0" applyNumberFormat="1" applyFont="1" applyFill="1" applyBorder="1" applyAlignment="1">
      <alignment horizontal="center" wrapText="1"/>
    </xf>
    <xf numFmtId="164" fontId="2" fillId="7" borderId="1" xfId="3" applyNumberFormat="1" applyFont="1" applyFill="1" applyBorder="1" applyAlignment="1">
      <alignment horizontal="center" wrapText="1"/>
    </xf>
    <xf numFmtId="166" fontId="2" fillId="0" borderId="1" xfId="0" applyNumberFormat="1" applyFont="1" applyFill="1" applyBorder="1" applyAlignment="1">
      <alignment horizontal="center" wrapText="1"/>
    </xf>
    <xf numFmtId="0" fontId="2" fillId="0" borderId="4" xfId="0" applyFont="1" applyBorder="1" applyAlignment="1">
      <alignment vertical="center" wrapText="1"/>
    </xf>
    <xf numFmtId="0" fontId="2" fillId="7" borderId="4" xfId="0" applyFont="1" applyFill="1" applyBorder="1" applyAlignment="1">
      <alignment horizontal="center" vertical="center" wrapText="1"/>
    </xf>
    <xf numFmtId="3" fontId="22" fillId="9" borderId="3"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3" fontId="25" fillId="7" borderId="1" xfId="0"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3" fontId="0" fillId="7" borderId="0" xfId="0" applyNumberFormat="1" applyFill="1"/>
    <xf numFmtId="164" fontId="0" fillId="7" borderId="0" xfId="0" applyNumberFormat="1" applyFill="1"/>
    <xf numFmtId="0" fontId="1" fillId="7" borderId="0" xfId="0" applyFont="1" applyFill="1" applyAlignment="1">
      <alignment wrapText="1"/>
    </xf>
    <xf numFmtId="0" fontId="4"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7" borderId="2" xfId="0" applyFont="1" applyFill="1" applyBorder="1" applyAlignment="1">
      <alignment horizontal="left" vertical="center" wrapText="1"/>
    </xf>
    <xf numFmtId="0" fontId="0" fillId="7" borderId="8" xfId="0" applyFill="1" applyBorder="1" applyAlignment="1">
      <alignment horizontal="left" vertical="center" wrapText="1"/>
    </xf>
    <xf numFmtId="0" fontId="0" fillId="7" borderId="4" xfId="0" applyFill="1" applyBorder="1" applyAlignment="1">
      <alignment horizontal="left" vertical="center" wrapText="1"/>
    </xf>
    <xf numFmtId="0" fontId="5"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7" borderId="11" xfId="0" applyFont="1" applyFill="1" applyBorder="1" applyAlignment="1">
      <alignment vertical="center" wrapText="1"/>
    </xf>
    <xf numFmtId="0" fontId="0" fillId="7" borderId="12" xfId="0" applyFill="1" applyBorder="1" applyAlignment="1">
      <alignment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0" borderId="11" xfId="0" applyFont="1" applyFill="1"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5" fillId="0" borderId="1" xfId="0" applyFont="1" applyFill="1" applyBorder="1" applyAlignment="1">
      <alignment vertical="center" wrapText="1"/>
    </xf>
    <xf numFmtId="0" fontId="0" fillId="0" borderId="1" xfId="0" applyFill="1" applyBorder="1" applyAlignment="1">
      <alignment vertical="center" wrapText="1"/>
    </xf>
    <xf numFmtId="0" fontId="1" fillId="6" borderId="1" xfId="0" applyFont="1" applyFill="1" applyBorder="1" applyAlignment="1">
      <alignment horizontal="center"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5" fillId="0" borderId="10" xfId="0" applyFont="1" applyBorder="1" applyAlignment="1">
      <alignment horizontal="left" vertical="center" wrapText="1"/>
    </xf>
    <xf numFmtId="0" fontId="25" fillId="5" borderId="22" xfId="0" applyFont="1" applyFill="1" applyBorder="1" applyAlignment="1">
      <alignment horizontal="center" vertical="center" wrapText="1"/>
    </xf>
    <xf numFmtId="0" fontId="25" fillId="5" borderId="23" xfId="0" applyFont="1" applyFill="1" applyBorder="1" applyAlignment="1">
      <alignment horizontal="center" vertical="center" wrapText="1"/>
    </xf>
    <xf numFmtId="0" fontId="25" fillId="5" borderId="2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3" fillId="7" borderId="9" xfId="0" applyFont="1" applyFill="1" applyBorder="1" applyAlignment="1">
      <alignment horizontal="center" wrapText="1"/>
    </xf>
    <xf numFmtId="0" fontId="11" fillId="7" borderId="3" xfId="0" applyFont="1" applyFill="1" applyBorder="1" applyAlignment="1">
      <alignment horizontal="center" vertical="center" wrapText="1"/>
    </xf>
    <xf numFmtId="0" fontId="11" fillId="7" borderId="3" xfId="0" applyFont="1" applyFill="1" applyBorder="1" applyAlignment="1">
      <alignment vertical="center" wrapText="1"/>
    </xf>
    <xf numFmtId="0" fontId="0" fillId="7" borderId="3" xfId="0" applyFill="1" applyBorder="1" applyAlignment="1">
      <alignment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0" fontId="0" fillId="0" borderId="3" xfId="0" applyBorder="1" applyAlignment="1">
      <alignment wrapText="1"/>
    </xf>
    <xf numFmtId="0" fontId="10" fillId="0" borderId="22" xfId="0" applyFont="1" applyBorder="1" applyAlignment="1">
      <alignment horizontal="left" vertical="center" wrapText="1"/>
    </xf>
    <xf numFmtId="0" fontId="10" fillId="0" borderId="21" xfId="0" applyFont="1" applyBorder="1" applyAlignment="1">
      <alignment horizontal="left" vertical="center" wrapText="1"/>
    </xf>
    <xf numFmtId="0" fontId="10" fillId="0" borderId="1"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2" borderId="22" xfId="0" applyFont="1" applyFill="1" applyBorder="1" applyAlignment="1">
      <alignment horizontal="center" wrapText="1"/>
    </xf>
    <xf numFmtId="0" fontId="10" fillId="2" borderId="23" xfId="0" applyFont="1" applyFill="1" applyBorder="1" applyAlignment="1">
      <alignment horizontal="center" wrapText="1"/>
    </xf>
    <xf numFmtId="0" fontId="10" fillId="2" borderId="21" xfId="0" applyFont="1" applyFill="1" applyBorder="1" applyAlignment="1">
      <alignment horizont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1" xfId="0" applyFont="1" applyFill="1" applyBorder="1" applyAlignment="1">
      <alignment horizontal="center" vertical="center" textRotation="180" wrapText="1"/>
    </xf>
    <xf numFmtId="0" fontId="10" fillId="2" borderId="12" xfId="0" applyFont="1" applyFill="1" applyBorder="1" applyAlignment="1">
      <alignment horizontal="center" vertical="center" textRotation="180"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22" xfId="0" applyFont="1" applyFill="1" applyBorder="1" applyAlignment="1">
      <alignment horizontal="left" vertical="center" wrapText="1"/>
    </xf>
    <xf numFmtId="0" fontId="10" fillId="7" borderId="2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1" fillId="7" borderId="2" xfId="0" applyFont="1" applyFill="1" applyBorder="1" applyAlignment="1">
      <alignment horizontal="center" vertical="center" wrapText="1"/>
    </xf>
    <xf numFmtId="0" fontId="0" fillId="7" borderId="8" xfId="0" applyFill="1" applyBorder="1" applyAlignment="1">
      <alignment horizontal="center" wrapText="1"/>
    </xf>
    <xf numFmtId="0" fontId="0" fillId="7" borderId="4" xfId="0" applyFill="1" applyBorder="1" applyAlignment="1">
      <alignment horizontal="center" wrapText="1"/>
    </xf>
    <xf numFmtId="0" fontId="11" fillId="2" borderId="2" xfId="0" applyFont="1" applyFill="1" applyBorder="1" applyAlignment="1">
      <alignment vertical="center" wrapText="1"/>
    </xf>
    <xf numFmtId="0" fontId="0" fillId="2" borderId="4" xfId="0" applyFill="1" applyBorder="1" applyAlignment="1">
      <alignment vertical="center" wrapText="1"/>
    </xf>
    <xf numFmtId="0" fontId="11"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vertical="center" wrapText="1"/>
    </xf>
    <xf numFmtId="0" fontId="0" fillId="0" borderId="3" xfId="0" applyBorder="1" applyAlignment="1">
      <alignment vertical="center" wrapText="1"/>
    </xf>
    <xf numFmtId="0" fontId="2" fillId="7"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2" fillId="2" borderId="4" xfId="0" applyFont="1" applyFill="1" applyBorder="1" applyAlignment="1">
      <alignment horizontal="center" wrapText="1"/>
    </xf>
    <xf numFmtId="0" fontId="3" fillId="2" borderId="3" xfId="0" applyFont="1" applyFill="1" applyBorder="1" applyAlignment="1">
      <alignment horizontal="center" vertical="center" wrapText="1"/>
    </xf>
    <xf numFmtId="0" fontId="10" fillId="7" borderId="2" xfId="0" applyFont="1" applyFill="1" applyBorder="1" applyAlignment="1">
      <alignment vertical="center" wrapText="1"/>
    </xf>
    <xf numFmtId="0" fontId="10" fillId="7" borderId="4" xfId="0" applyFont="1" applyFill="1" applyBorder="1" applyAlignment="1">
      <alignment vertical="center" wrapText="1"/>
    </xf>
    <xf numFmtId="0" fontId="2" fillId="0" borderId="1" xfId="0" applyFont="1" applyBorder="1" applyAlignment="1">
      <alignment horizontal="left" vertical="top" wrapText="1"/>
    </xf>
    <xf numFmtId="0" fontId="2" fillId="7" borderId="16"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2" fillId="7" borderId="0"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2" fillId="7" borderId="20"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2" fillId="7" borderId="11"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31" fillId="7" borderId="11"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31" fillId="7" borderId="12"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2" fillId="7" borderId="11" xfId="0" applyFont="1" applyFill="1" applyBorder="1" applyAlignment="1">
      <alignment horizontal="center" wrapText="1"/>
    </xf>
    <xf numFmtId="0" fontId="2" fillId="7" borderId="10" xfId="0" applyFont="1" applyFill="1" applyBorder="1" applyAlignment="1">
      <alignment horizontal="center" wrapText="1"/>
    </xf>
    <xf numFmtId="0" fontId="0" fillId="7" borderId="10" xfId="0" applyFill="1" applyBorder="1" applyAlignment="1">
      <alignment horizontal="center" wrapText="1"/>
    </xf>
    <xf numFmtId="0" fontId="0" fillId="7" borderId="12" xfId="0" applyFill="1" applyBorder="1" applyAlignment="1">
      <alignment horizontal="center" wrapText="1"/>
    </xf>
    <xf numFmtId="0" fontId="2" fillId="7" borderId="12" xfId="0" applyFont="1" applyFill="1" applyBorder="1" applyAlignment="1">
      <alignment horizontal="center" wrapText="1"/>
    </xf>
    <xf numFmtId="0" fontId="5" fillId="7" borderId="0"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15" xfId="0" applyFont="1" applyFill="1" applyBorder="1" applyAlignment="1">
      <alignment horizontal="left" vertical="center" wrapText="1"/>
    </xf>
    <xf numFmtId="0" fontId="0" fillId="7" borderId="10" xfId="0" applyFill="1" applyBorder="1" applyAlignment="1">
      <alignment horizontal="center" vertical="center" wrapText="1"/>
    </xf>
    <xf numFmtId="0" fontId="0" fillId="7" borderId="12" xfId="0"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0" fillId="7" borderId="17" xfId="0" applyFill="1" applyBorder="1" applyAlignment="1">
      <alignment horizontal="left" vertical="center" wrapText="1"/>
    </xf>
    <xf numFmtId="0" fontId="0" fillId="7" borderId="18" xfId="0" applyFill="1" applyBorder="1" applyAlignment="1">
      <alignment horizontal="left" vertical="center" wrapText="1"/>
    </xf>
    <xf numFmtId="0" fontId="0" fillId="7" borderId="19" xfId="0" applyFill="1" applyBorder="1" applyAlignment="1">
      <alignment horizontal="left" vertical="center" wrapText="1"/>
    </xf>
    <xf numFmtId="0" fontId="0" fillId="7" borderId="0" xfId="0" applyFill="1" applyAlignment="1">
      <alignment horizontal="left" vertical="center" wrapText="1"/>
    </xf>
    <xf numFmtId="0" fontId="0" fillId="7" borderId="13" xfId="0" applyFill="1" applyBorder="1" applyAlignment="1">
      <alignment horizontal="left" vertical="center" wrapText="1"/>
    </xf>
    <xf numFmtId="0" fontId="0" fillId="7" borderId="20" xfId="0" applyFill="1" applyBorder="1" applyAlignment="1">
      <alignment horizontal="left" vertical="center" wrapText="1"/>
    </xf>
    <xf numFmtId="0" fontId="0" fillId="7" borderId="14" xfId="0" applyFill="1" applyBorder="1" applyAlignment="1">
      <alignment horizontal="left" vertical="center" wrapText="1"/>
    </xf>
    <xf numFmtId="0" fontId="0" fillId="7" borderId="15" xfId="0" applyFill="1" applyBorder="1" applyAlignment="1">
      <alignment horizontal="left" vertical="center" wrapText="1"/>
    </xf>
    <xf numFmtId="0" fontId="17" fillId="7" borderId="10"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 xfId="0" applyFont="1" applyBorder="1" applyAlignment="1">
      <alignment horizontal="center" vertical="center" wrapText="1"/>
    </xf>
    <xf numFmtId="0" fontId="2" fillId="7" borderId="16" xfId="0" applyFont="1" applyFill="1" applyBorder="1" applyAlignment="1">
      <alignment vertical="center" wrapText="1"/>
    </xf>
    <xf numFmtId="0" fontId="0" fillId="7" borderId="17" xfId="0" applyFill="1" applyBorder="1" applyAlignment="1">
      <alignment vertical="center" wrapText="1"/>
    </xf>
    <xf numFmtId="0" fontId="0" fillId="7" borderId="18" xfId="0" applyFill="1" applyBorder="1" applyAlignment="1">
      <alignment vertical="center" wrapText="1"/>
    </xf>
    <xf numFmtId="0" fontId="0" fillId="7" borderId="19" xfId="0" applyFill="1" applyBorder="1" applyAlignment="1">
      <alignment vertical="center" wrapText="1"/>
    </xf>
    <xf numFmtId="0" fontId="0" fillId="7" borderId="0" xfId="0" applyFill="1" applyAlignment="1">
      <alignment vertical="center" wrapText="1"/>
    </xf>
    <xf numFmtId="0" fontId="0" fillId="7" borderId="13" xfId="0" applyFill="1" applyBorder="1" applyAlignment="1">
      <alignment vertical="center" wrapText="1"/>
    </xf>
    <xf numFmtId="0" fontId="0" fillId="7" borderId="20" xfId="0" applyFill="1" applyBorder="1" applyAlignment="1">
      <alignment vertical="center" wrapText="1"/>
    </xf>
    <xf numFmtId="0" fontId="0" fillId="7" borderId="14" xfId="0" applyFill="1" applyBorder="1" applyAlignment="1">
      <alignment vertical="center" wrapText="1"/>
    </xf>
    <xf numFmtId="0" fontId="0" fillId="7" borderId="15" xfId="0" applyFill="1" applyBorder="1" applyAlignment="1">
      <alignment vertical="center" wrapText="1"/>
    </xf>
    <xf numFmtId="0" fontId="26" fillId="7" borderId="1" xfId="0" applyFont="1" applyFill="1" applyBorder="1" applyAlignment="1">
      <alignment horizontal="left" vertical="center" wrapText="1"/>
    </xf>
    <xf numFmtId="0" fontId="26" fillId="7" borderId="1" xfId="0" applyFont="1" applyFill="1" applyBorder="1" applyAlignment="1">
      <alignment horizontal="left" wrapText="1"/>
    </xf>
    <xf numFmtId="0" fontId="26" fillId="7" borderId="1" xfId="0" applyFont="1" applyFill="1" applyBorder="1" applyAlignment="1">
      <alignment horizontal="center" vertical="center" wrapText="1"/>
    </xf>
    <xf numFmtId="0" fontId="26" fillId="7" borderId="1" xfId="0" applyFont="1" applyFill="1" applyBorder="1" applyAlignment="1">
      <alignment horizontal="center" wrapText="1"/>
    </xf>
    <xf numFmtId="0" fontId="1" fillId="2" borderId="1" xfId="0" applyFont="1" applyFill="1" applyBorder="1" applyAlignment="1">
      <alignment horizontal="center" vertical="center" wrapText="1"/>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64545</xdr:colOff>
      <xdr:row>0</xdr:row>
      <xdr:rowOff>0</xdr:rowOff>
    </xdr:from>
    <xdr:to>
      <xdr:col>9</xdr:col>
      <xdr:colOff>371474</xdr:colOff>
      <xdr:row>39</xdr:row>
      <xdr:rowOff>3654</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545" y="0"/>
          <a:ext cx="5793329" cy="7433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20(DRIVE)/2020%20WMP/WMP%20Document%20Submissions/Caswell/WMP%20Assignments_MASTER%20TEMPLATE_Brewer_01-30-2020hcc%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 val="Initial Work Products"/>
      <sheetName val="GIS Normalized valu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Table 28"/>
      <sheetName val="Table 29"/>
      <sheetName val="Table 30"/>
      <sheetName val="Table 31"/>
      <sheetName val="Program Description Template"/>
      <sheetName val="Section 5.3.11"/>
    </sheetNames>
    <sheetDataSet>
      <sheetData sheetId="0"/>
      <sheetData sheetId="1"/>
      <sheetData sheetId="2">
        <row r="5">
          <cell r="D5">
            <v>2523</v>
          </cell>
          <cell r="E5">
            <v>729</v>
          </cell>
        </row>
        <row r="6">
          <cell r="D6">
            <v>1699</v>
          </cell>
          <cell r="E6">
            <v>384</v>
          </cell>
        </row>
        <row r="7">
          <cell r="D7">
            <v>5</v>
          </cell>
          <cell r="E7">
            <v>1</v>
          </cell>
        </row>
        <row r="8">
          <cell r="D8">
            <v>781</v>
          </cell>
          <cell r="E8">
            <v>321</v>
          </cell>
        </row>
        <row r="9">
          <cell r="D9">
            <v>38</v>
          </cell>
          <cell r="E9">
            <v>23</v>
          </cell>
        </row>
        <row r="22">
          <cell r="C22">
            <v>55</v>
          </cell>
          <cell r="E22">
            <v>424</v>
          </cell>
          <cell r="G22">
            <v>912</v>
          </cell>
          <cell r="I22">
            <v>0</v>
          </cell>
          <cell r="K2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J17" sqref="J17"/>
    </sheetView>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67"/>
  <sheetViews>
    <sheetView zoomScale="80" zoomScaleNormal="80" workbookViewId="0">
      <selection activeCell="L26" sqref="L26"/>
    </sheetView>
  </sheetViews>
  <sheetFormatPr defaultRowHeight="14.5" x14ac:dyDescent="0.35"/>
  <cols>
    <col min="1" max="1" width="9.1796875" style="40"/>
    <col min="2" max="2" width="20.54296875" customWidth="1"/>
    <col min="3" max="3" width="38.453125" customWidth="1"/>
    <col min="4" max="4" width="31.7265625" customWidth="1"/>
    <col min="5" max="5" width="14.54296875" customWidth="1"/>
    <col min="6" max="6" width="29.7265625" customWidth="1"/>
    <col min="7" max="7" width="34" customWidth="1"/>
    <col min="8" max="22" width="9.1796875" style="40"/>
  </cols>
  <sheetData>
    <row r="1" spans="1:7" s="40" customFormat="1" ht="26" x14ac:dyDescent="0.6">
      <c r="A1" s="42" t="s">
        <v>125</v>
      </c>
    </row>
    <row r="2" spans="1:7" s="40" customFormat="1" x14ac:dyDescent="0.35">
      <c r="A2" s="40" t="s">
        <v>0</v>
      </c>
      <c r="B2" s="39">
        <v>2.7</v>
      </c>
      <c r="C2" s="40" t="s">
        <v>92</v>
      </c>
    </row>
    <row r="3" spans="1:7" s="40" customFormat="1" x14ac:dyDescent="0.35">
      <c r="A3" s="44" t="s">
        <v>76</v>
      </c>
      <c r="B3" s="39">
        <v>9</v>
      </c>
      <c r="C3" s="40" t="s">
        <v>53</v>
      </c>
    </row>
    <row r="4" spans="1:7" s="40" customFormat="1" x14ac:dyDescent="0.35"/>
    <row r="5" spans="1:7" s="40" customFormat="1" x14ac:dyDescent="0.35"/>
    <row r="6" spans="1:7" s="40" customFormat="1" x14ac:dyDescent="0.35"/>
    <row r="7" spans="1:7" s="40" customFormat="1" x14ac:dyDescent="0.35"/>
    <row r="8" spans="1:7" ht="26" x14ac:dyDescent="0.35">
      <c r="A8" s="158"/>
      <c r="B8" s="17" t="s">
        <v>224</v>
      </c>
      <c r="C8" s="18" t="s">
        <v>225</v>
      </c>
      <c r="D8" s="18" t="s">
        <v>226</v>
      </c>
      <c r="E8" s="18" t="s">
        <v>236</v>
      </c>
      <c r="F8" s="85" t="s">
        <v>624</v>
      </c>
      <c r="G8" s="85" t="s">
        <v>619</v>
      </c>
    </row>
    <row r="9" spans="1:7" ht="26" x14ac:dyDescent="0.35">
      <c r="A9" s="231"/>
      <c r="B9" s="237" t="s">
        <v>65</v>
      </c>
      <c r="C9" s="19" t="s">
        <v>237</v>
      </c>
      <c r="D9" s="19" t="s">
        <v>238</v>
      </c>
      <c r="E9" s="236">
        <v>6.4</v>
      </c>
      <c r="F9" s="236" t="s">
        <v>625</v>
      </c>
      <c r="G9" s="84" t="s">
        <v>626</v>
      </c>
    </row>
    <row r="10" spans="1:7" ht="26" x14ac:dyDescent="0.35">
      <c r="A10" s="231"/>
      <c r="B10" s="237"/>
      <c r="C10" s="19" t="s">
        <v>239</v>
      </c>
      <c r="D10" s="19" t="s">
        <v>238</v>
      </c>
      <c r="E10" s="236"/>
      <c r="F10" s="236"/>
      <c r="G10" s="84" t="s">
        <v>627</v>
      </c>
    </row>
    <row r="11" spans="1:7" x14ac:dyDescent="0.35">
      <c r="A11" s="231"/>
      <c r="B11" s="237"/>
      <c r="C11" s="19" t="s">
        <v>93</v>
      </c>
      <c r="D11" s="19" t="s">
        <v>240</v>
      </c>
      <c r="E11" s="236"/>
      <c r="F11" s="236"/>
      <c r="G11" s="84" t="s">
        <v>628</v>
      </c>
    </row>
    <row r="12" spans="1:7" x14ac:dyDescent="0.35">
      <c r="A12" s="231"/>
      <c r="B12" s="237"/>
      <c r="C12" s="19" t="s">
        <v>241</v>
      </c>
      <c r="D12" s="19" t="s">
        <v>242</v>
      </c>
      <c r="E12" s="236"/>
      <c r="F12" s="236"/>
      <c r="G12" s="84" t="s">
        <v>629</v>
      </c>
    </row>
    <row r="13" spans="1:7" ht="26" x14ac:dyDescent="0.35">
      <c r="A13" s="231"/>
      <c r="B13" s="237"/>
      <c r="C13" s="19" t="s">
        <v>54</v>
      </c>
      <c r="D13" s="19" t="s">
        <v>243</v>
      </c>
      <c r="E13" s="236"/>
      <c r="F13" s="236"/>
      <c r="G13" s="84" t="s">
        <v>630</v>
      </c>
    </row>
    <row r="14" spans="1:7" ht="39" x14ac:dyDescent="0.35">
      <c r="A14" s="231"/>
      <c r="B14" s="237"/>
      <c r="C14" s="19" t="s">
        <v>245</v>
      </c>
      <c r="D14" s="19" t="s">
        <v>243</v>
      </c>
      <c r="E14" s="236"/>
      <c r="F14" s="236"/>
      <c r="G14" s="84" t="s">
        <v>631</v>
      </c>
    </row>
    <row r="15" spans="1:7" x14ac:dyDescent="0.35">
      <c r="A15" s="231"/>
      <c r="B15" s="237"/>
      <c r="C15" s="19" t="s">
        <v>55</v>
      </c>
      <c r="D15" s="19" t="s">
        <v>244</v>
      </c>
      <c r="E15" s="236"/>
      <c r="F15" s="236"/>
      <c r="G15" s="84" t="s">
        <v>632</v>
      </c>
    </row>
    <row r="16" spans="1:7" x14ac:dyDescent="0.35">
      <c r="A16" s="231"/>
      <c r="B16" s="237"/>
      <c r="C16" s="19" t="s">
        <v>94</v>
      </c>
      <c r="D16" s="19" t="s">
        <v>244</v>
      </c>
      <c r="E16" s="236"/>
      <c r="F16" s="236"/>
      <c r="G16" s="84" t="s">
        <v>633</v>
      </c>
    </row>
    <row r="17" spans="1:7" x14ac:dyDescent="0.35">
      <c r="A17" s="231"/>
      <c r="B17" s="237"/>
      <c r="C17" s="19" t="s">
        <v>56</v>
      </c>
      <c r="D17" s="19" t="s">
        <v>242</v>
      </c>
      <c r="E17" s="236"/>
      <c r="F17" s="236"/>
      <c r="G17" s="84" t="s">
        <v>634</v>
      </c>
    </row>
    <row r="18" spans="1:7" x14ac:dyDescent="0.35">
      <c r="A18" s="231"/>
      <c r="B18" s="237"/>
      <c r="C18" s="19" t="s">
        <v>57</v>
      </c>
      <c r="D18" s="19" t="s">
        <v>242</v>
      </c>
      <c r="E18" s="236"/>
      <c r="F18" s="236"/>
      <c r="G18" s="84" t="s">
        <v>635</v>
      </c>
    </row>
    <row r="19" spans="1:7" ht="26" x14ac:dyDescent="0.35">
      <c r="A19" s="231"/>
      <c r="B19" s="237"/>
      <c r="C19" s="19" t="s">
        <v>58</v>
      </c>
      <c r="D19" s="19" t="s">
        <v>242</v>
      </c>
      <c r="E19" s="236"/>
      <c r="F19" s="236"/>
      <c r="G19" s="84" t="s">
        <v>636</v>
      </c>
    </row>
    <row r="20" spans="1:7" ht="26" x14ac:dyDescent="0.35">
      <c r="A20" s="231"/>
      <c r="B20" s="237" t="s">
        <v>89</v>
      </c>
      <c r="C20" s="19" t="s">
        <v>246</v>
      </c>
      <c r="D20" s="19" t="s">
        <v>244</v>
      </c>
      <c r="E20" s="236">
        <v>6.5</v>
      </c>
      <c r="F20" s="236" t="s">
        <v>637</v>
      </c>
      <c r="G20" s="84" t="s">
        <v>638</v>
      </c>
    </row>
    <row r="21" spans="1:7" ht="26" x14ac:dyDescent="0.35">
      <c r="A21" s="232"/>
      <c r="B21" s="238"/>
      <c r="C21" s="19" t="s">
        <v>239</v>
      </c>
      <c r="D21" s="19" t="s">
        <v>244</v>
      </c>
      <c r="E21" s="236"/>
      <c r="F21" s="236"/>
      <c r="G21" s="84" t="s">
        <v>639</v>
      </c>
    </row>
    <row r="22" spans="1:7" x14ac:dyDescent="0.35">
      <c r="A22" s="232"/>
      <c r="B22" s="238"/>
      <c r="C22" s="19" t="s">
        <v>93</v>
      </c>
      <c r="D22" s="19" t="s">
        <v>244</v>
      </c>
      <c r="E22" s="236"/>
      <c r="F22" s="236"/>
      <c r="G22" s="84" t="s">
        <v>640</v>
      </c>
    </row>
    <row r="23" spans="1:7" x14ac:dyDescent="0.35">
      <c r="A23" s="232"/>
      <c r="B23" s="238"/>
      <c r="C23" s="19" t="s">
        <v>59</v>
      </c>
      <c r="D23" s="19" t="s">
        <v>244</v>
      </c>
      <c r="E23" s="236"/>
      <c r="F23" s="236"/>
      <c r="G23" s="84" t="s">
        <v>633</v>
      </c>
    </row>
    <row r="24" spans="1:7" x14ac:dyDescent="0.35">
      <c r="A24" s="232"/>
      <c r="B24" s="238"/>
      <c r="C24" s="19" t="s">
        <v>60</v>
      </c>
      <c r="D24" s="19" t="s">
        <v>244</v>
      </c>
      <c r="E24" s="236"/>
      <c r="F24" s="236"/>
      <c r="G24" s="84" t="s">
        <v>641</v>
      </c>
    </row>
    <row r="25" spans="1:7" x14ac:dyDescent="0.35">
      <c r="A25" s="232"/>
      <c r="B25" s="238"/>
      <c r="C25" s="19" t="s">
        <v>56</v>
      </c>
      <c r="D25" s="19" t="s">
        <v>242</v>
      </c>
      <c r="E25" s="236"/>
      <c r="F25" s="236"/>
      <c r="G25" s="84" t="s">
        <v>642</v>
      </c>
    </row>
    <row r="26" spans="1:7" ht="39" x14ac:dyDescent="0.35">
      <c r="A26" s="156"/>
      <c r="B26" s="19" t="s">
        <v>248</v>
      </c>
      <c r="C26" s="19" t="s">
        <v>247</v>
      </c>
      <c r="D26" s="19" t="s">
        <v>244</v>
      </c>
      <c r="E26" s="20" t="s">
        <v>356</v>
      </c>
      <c r="F26" s="90" t="s">
        <v>656</v>
      </c>
      <c r="G26" s="90" t="s">
        <v>657</v>
      </c>
    </row>
    <row r="27" spans="1:7" s="40" customFormat="1" x14ac:dyDescent="0.35"/>
    <row r="28" spans="1:7" s="40" customFormat="1" x14ac:dyDescent="0.35">
      <c r="E28" s="40" t="s">
        <v>357</v>
      </c>
    </row>
    <row r="29" spans="1:7" s="40" customFormat="1" x14ac:dyDescent="0.35"/>
    <row r="30" spans="1:7" s="40" customFormat="1" x14ac:dyDescent="0.35"/>
    <row r="31" spans="1:7" s="40" customFormat="1" x14ac:dyDescent="0.35"/>
    <row r="32" spans="1:7" s="40" customFormat="1" x14ac:dyDescent="0.35"/>
    <row r="33" s="40" customFormat="1" x14ac:dyDescent="0.35"/>
    <row r="34" s="40" customFormat="1" x14ac:dyDescent="0.35"/>
    <row r="35" s="40" customFormat="1" x14ac:dyDescent="0.35"/>
    <row r="36" s="40" customFormat="1" x14ac:dyDescent="0.35"/>
    <row r="37" s="40" customFormat="1" x14ac:dyDescent="0.35"/>
    <row r="38" s="40" customFormat="1" x14ac:dyDescent="0.35"/>
    <row r="39" s="40" customFormat="1" x14ac:dyDescent="0.35"/>
    <row r="40" s="40" customFormat="1" x14ac:dyDescent="0.35"/>
    <row r="41" s="40" customFormat="1" x14ac:dyDescent="0.35"/>
    <row r="42" s="40" customFormat="1" x14ac:dyDescent="0.35"/>
    <row r="43" s="40" customFormat="1" x14ac:dyDescent="0.35"/>
    <row r="44" s="40" customFormat="1" x14ac:dyDescent="0.35"/>
    <row r="45" s="40" customFormat="1" x14ac:dyDescent="0.35"/>
    <row r="46" s="40" customFormat="1" x14ac:dyDescent="0.35"/>
    <row r="47" s="40" customFormat="1" x14ac:dyDescent="0.35"/>
    <row r="48" s="40" customFormat="1" x14ac:dyDescent="0.35"/>
    <row r="49" s="40" customFormat="1" x14ac:dyDescent="0.35"/>
    <row r="50" s="40" customFormat="1" x14ac:dyDescent="0.35"/>
    <row r="51" s="40" customFormat="1" x14ac:dyDescent="0.35"/>
    <row r="52" s="40" customFormat="1" x14ac:dyDescent="0.35"/>
    <row r="53" s="40" customFormat="1" x14ac:dyDescent="0.35"/>
    <row r="54" s="40" customFormat="1" x14ac:dyDescent="0.35"/>
    <row r="55" s="40" customFormat="1" x14ac:dyDescent="0.35"/>
    <row r="56" s="40" customFormat="1" x14ac:dyDescent="0.35"/>
    <row r="57" s="40" customFormat="1" x14ac:dyDescent="0.35"/>
    <row r="58" s="40" customFormat="1" x14ac:dyDescent="0.35"/>
    <row r="59" s="40" customFormat="1" x14ac:dyDescent="0.35"/>
    <row r="60" s="40" customFormat="1" x14ac:dyDescent="0.35"/>
    <row r="61" s="40" customFormat="1" x14ac:dyDescent="0.35"/>
    <row r="62" s="40" customFormat="1" x14ac:dyDescent="0.35"/>
    <row r="63" s="40" customFormat="1" x14ac:dyDescent="0.35"/>
    <row r="64" s="40" customFormat="1" x14ac:dyDescent="0.35"/>
    <row r="65" s="40" customFormat="1" x14ac:dyDescent="0.35"/>
    <row r="66" s="40" customFormat="1" x14ac:dyDescent="0.35"/>
    <row r="67" s="40" customFormat="1" x14ac:dyDescent="0.35"/>
  </sheetData>
  <mergeCells count="8">
    <mergeCell ref="F9:F19"/>
    <mergeCell ref="F20:F25"/>
    <mergeCell ref="B20:B25"/>
    <mergeCell ref="A9:A19"/>
    <mergeCell ref="A20:A25"/>
    <mergeCell ref="B9:B19"/>
    <mergeCell ref="E9:E19"/>
    <mergeCell ref="E20:E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29"/>
  <sheetViews>
    <sheetView workbookViewId="0">
      <selection activeCell="G19" sqref="G19"/>
    </sheetView>
  </sheetViews>
  <sheetFormatPr defaultRowHeight="14.5" x14ac:dyDescent="0.35"/>
  <cols>
    <col min="1" max="1" width="9.1796875" style="40"/>
    <col min="2" max="2" width="30.54296875" customWidth="1"/>
    <col min="9" max="9" width="27.54296875" customWidth="1"/>
    <col min="10" max="10" width="2.54296875" style="40" customWidth="1"/>
    <col min="11" max="26" width="9.1796875" style="40"/>
  </cols>
  <sheetData>
    <row r="1" spans="1:9" s="40" customFormat="1" ht="27" customHeight="1" x14ac:dyDescent="0.6">
      <c r="A1" s="42" t="s">
        <v>125</v>
      </c>
    </row>
    <row r="2" spans="1:9" s="40" customFormat="1" x14ac:dyDescent="0.35">
      <c r="A2" s="40" t="s">
        <v>0</v>
      </c>
      <c r="B2" s="39">
        <v>3.1</v>
      </c>
      <c r="C2" s="40" t="s">
        <v>347</v>
      </c>
    </row>
    <row r="3" spans="1:9" s="40" customFormat="1" x14ac:dyDescent="0.35">
      <c r="A3" s="44" t="s">
        <v>76</v>
      </c>
      <c r="B3" s="39">
        <v>10</v>
      </c>
      <c r="C3" s="40" t="s">
        <v>61</v>
      </c>
    </row>
    <row r="4" spans="1:9" s="40" customFormat="1" x14ac:dyDescent="0.35"/>
    <row r="5" spans="1:9" s="40" customFormat="1" x14ac:dyDescent="0.35"/>
    <row r="6" spans="1:9" s="40" customFormat="1" x14ac:dyDescent="0.35"/>
    <row r="7" spans="1:9" ht="21" x14ac:dyDescent="0.35">
      <c r="B7" s="21" t="s">
        <v>249</v>
      </c>
      <c r="C7" s="21">
        <v>2015</v>
      </c>
      <c r="D7" s="21">
        <v>2016</v>
      </c>
      <c r="E7" s="21">
        <v>2017</v>
      </c>
      <c r="F7" s="21">
        <v>2018</v>
      </c>
      <c r="G7" s="21">
        <v>2019</v>
      </c>
      <c r="H7" s="21" t="s">
        <v>250</v>
      </c>
      <c r="I7" s="21" t="s">
        <v>112</v>
      </c>
    </row>
    <row r="8" spans="1:9" x14ac:dyDescent="0.35">
      <c r="B8" s="2" t="s">
        <v>251</v>
      </c>
      <c r="C8" s="139">
        <v>20443.482656715125</v>
      </c>
      <c r="D8" s="139">
        <v>3668.6965154964059</v>
      </c>
      <c r="E8" s="139">
        <v>22645.241101933894</v>
      </c>
      <c r="F8" s="139">
        <v>12174.967860970297</v>
      </c>
      <c r="G8" s="139">
        <v>9780.587384630544</v>
      </c>
      <c r="H8" s="139">
        <v>13742.595103949254</v>
      </c>
      <c r="I8" s="2" t="s">
        <v>252</v>
      </c>
    </row>
    <row r="9" spans="1:9" ht="21" x14ac:dyDescent="0.35">
      <c r="B9" s="2" t="s">
        <v>253</v>
      </c>
      <c r="C9" s="140" t="s">
        <v>658</v>
      </c>
      <c r="D9" s="140" t="s">
        <v>658</v>
      </c>
      <c r="E9" s="140" t="s">
        <v>658</v>
      </c>
      <c r="F9" s="140" t="s">
        <v>658</v>
      </c>
      <c r="G9" s="140">
        <f>SUM('[1]GIS Normalized values'!C22:L22)</f>
        <v>1391</v>
      </c>
      <c r="H9" s="140">
        <f>AVERAGE(G9)</f>
        <v>1391</v>
      </c>
      <c r="I9" s="2" t="s">
        <v>350</v>
      </c>
    </row>
    <row r="10" spans="1:9" ht="42" x14ac:dyDescent="0.35">
      <c r="B10" s="2" t="s">
        <v>62</v>
      </c>
      <c r="C10" s="190">
        <v>11811</v>
      </c>
      <c r="D10" s="190">
        <v>20069</v>
      </c>
      <c r="E10" s="190">
        <v>15625</v>
      </c>
      <c r="F10" s="190">
        <v>13541</v>
      </c>
      <c r="G10" s="190">
        <v>13215</v>
      </c>
      <c r="H10" s="190">
        <v>14852</v>
      </c>
      <c r="I10" s="22" t="s">
        <v>349</v>
      </c>
    </row>
    <row r="11" spans="1:9" ht="42" x14ac:dyDescent="0.35">
      <c r="B11" s="2" t="s">
        <v>63</v>
      </c>
      <c r="C11" s="190">
        <v>1106</v>
      </c>
      <c r="D11" s="190">
        <v>3031</v>
      </c>
      <c r="E11" s="190">
        <v>1420</v>
      </c>
      <c r="F11" s="190">
        <v>197</v>
      </c>
      <c r="G11" s="190">
        <v>1003</v>
      </c>
      <c r="H11" s="190">
        <v>1351</v>
      </c>
      <c r="I11" s="22" t="s">
        <v>348</v>
      </c>
    </row>
    <row r="12" spans="1:9" x14ac:dyDescent="0.35">
      <c r="B12" s="188" t="s">
        <v>64</v>
      </c>
      <c r="C12" s="189" t="s">
        <v>658</v>
      </c>
      <c r="D12" s="189" t="s">
        <v>658</v>
      </c>
      <c r="E12" s="189" t="s">
        <v>658</v>
      </c>
      <c r="F12" s="189" t="s">
        <v>658</v>
      </c>
      <c r="G12" s="189" t="s">
        <v>658</v>
      </c>
      <c r="H12" s="189" t="s">
        <v>658</v>
      </c>
      <c r="I12" s="188"/>
    </row>
    <row r="13" spans="1:9" s="40" customFormat="1" x14ac:dyDescent="0.35"/>
    <row r="14" spans="1:9" s="40" customFormat="1" x14ac:dyDescent="0.35"/>
    <row r="15" spans="1:9" s="40" customFormat="1" x14ac:dyDescent="0.35"/>
    <row r="16" spans="1:9" s="40" customFormat="1" x14ac:dyDescent="0.35"/>
    <row r="17" s="40" customFormat="1" x14ac:dyDescent="0.35"/>
    <row r="18" s="40" customFormat="1" x14ac:dyDescent="0.35"/>
    <row r="19" s="40" customFormat="1" x14ac:dyDescent="0.35"/>
    <row r="20" s="40" customFormat="1" x14ac:dyDescent="0.35"/>
    <row r="21" s="40" customFormat="1" x14ac:dyDescent="0.35"/>
    <row r="22" s="40" customFormat="1" x14ac:dyDescent="0.35"/>
    <row r="23" s="40" customFormat="1" x14ac:dyDescent="0.35"/>
    <row r="24" s="40" customFormat="1" x14ac:dyDescent="0.35"/>
    <row r="25" s="40" customFormat="1" x14ac:dyDescent="0.35"/>
    <row r="26" s="40" customFormat="1" x14ac:dyDescent="0.35"/>
    <row r="27" s="40" customFormat="1" x14ac:dyDescent="0.35"/>
    <row r="28" s="40" customFormat="1" x14ac:dyDescent="0.35"/>
    <row r="29" s="40" customFormat="1"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186"/>
  <sheetViews>
    <sheetView zoomScaleNormal="100" workbookViewId="0">
      <selection activeCell="N132" sqref="N132"/>
    </sheetView>
  </sheetViews>
  <sheetFormatPr defaultRowHeight="14.5" x14ac:dyDescent="0.35"/>
  <cols>
    <col min="1" max="1" width="13" style="40" customWidth="1"/>
    <col min="2" max="2" width="10" style="23" customWidth="1"/>
    <col min="3" max="3" width="20.81640625" style="23" customWidth="1"/>
    <col min="4" max="4" width="6.26953125" style="23" customWidth="1"/>
    <col min="5" max="22" width="6.7265625" style="23" customWidth="1"/>
    <col min="23" max="23" width="2.81640625" style="40" customWidth="1"/>
    <col min="24" max="39" width="9.1796875" style="40"/>
  </cols>
  <sheetData>
    <row r="1" spans="1:24" s="40" customFormat="1" ht="26" x14ac:dyDescent="0.6">
      <c r="A1" s="42" t="s">
        <v>125</v>
      </c>
      <c r="C1" s="160"/>
      <c r="D1" s="160"/>
      <c r="E1" s="160"/>
      <c r="F1" s="160"/>
      <c r="G1" s="160"/>
      <c r="H1" s="160"/>
      <c r="I1" s="160"/>
      <c r="J1" s="160"/>
      <c r="K1" s="160"/>
      <c r="L1" s="160"/>
      <c r="M1" s="160"/>
      <c r="N1" s="160"/>
      <c r="O1" s="160"/>
      <c r="P1" s="160"/>
      <c r="Q1" s="160"/>
      <c r="R1" s="160"/>
      <c r="S1" s="160"/>
      <c r="T1" s="160"/>
      <c r="U1" s="160"/>
      <c r="V1" s="160"/>
    </row>
    <row r="2" spans="1:24" s="167" customFormat="1" ht="18.5" x14ac:dyDescent="0.45">
      <c r="A2" s="167" t="s">
        <v>0</v>
      </c>
      <c r="B2" s="168">
        <v>3.2</v>
      </c>
      <c r="C2" s="167" t="s">
        <v>88</v>
      </c>
    </row>
    <row r="3" spans="1:24" s="167" customFormat="1" ht="18.5" x14ac:dyDescent="0.45">
      <c r="A3" s="167" t="s">
        <v>76</v>
      </c>
      <c r="B3" s="168" t="s">
        <v>556</v>
      </c>
      <c r="C3" s="167" t="s">
        <v>557</v>
      </c>
    </row>
    <row r="4" spans="1:24" s="40" customFormat="1" x14ac:dyDescent="0.35">
      <c r="A4" s="159" t="s">
        <v>660</v>
      </c>
      <c r="B4" s="160"/>
      <c r="C4" s="160"/>
      <c r="D4" s="160"/>
      <c r="E4" s="160"/>
      <c r="F4" s="160"/>
      <c r="G4" s="160"/>
      <c r="H4" s="160"/>
      <c r="I4" s="160"/>
      <c r="J4" s="160"/>
      <c r="K4" s="160"/>
      <c r="L4" s="160"/>
      <c r="M4" s="160"/>
      <c r="N4" s="160"/>
      <c r="O4" s="160"/>
      <c r="P4" s="160"/>
      <c r="Q4" s="160"/>
      <c r="R4" s="160"/>
      <c r="S4" s="160"/>
      <c r="T4" s="160"/>
      <c r="U4" s="160"/>
      <c r="V4" s="160"/>
    </row>
    <row r="5" spans="1:24" s="40" customFormat="1" x14ac:dyDescent="0.35">
      <c r="A5" s="159" t="s">
        <v>661</v>
      </c>
      <c r="B5" s="160"/>
      <c r="C5" s="160"/>
      <c r="D5" s="160"/>
      <c r="E5" s="160"/>
      <c r="F5" s="160"/>
      <c r="G5" s="160"/>
      <c r="H5" s="160"/>
      <c r="I5" s="160"/>
      <c r="J5" s="160"/>
      <c r="K5" s="160"/>
      <c r="L5" s="160"/>
      <c r="M5" s="160"/>
      <c r="N5" s="160"/>
      <c r="O5" s="160"/>
      <c r="P5" s="160"/>
      <c r="Q5" s="160"/>
      <c r="R5" s="160"/>
      <c r="S5" s="160"/>
      <c r="T5" s="160"/>
      <c r="U5" s="160"/>
      <c r="V5" s="160"/>
    </row>
    <row r="6" spans="1:24" s="40" customFormat="1" x14ac:dyDescent="0.35">
      <c r="B6" s="160"/>
      <c r="C6" s="160"/>
      <c r="D6" s="160"/>
      <c r="E6" s="160"/>
      <c r="F6" s="160"/>
      <c r="G6" s="160"/>
      <c r="H6" s="160"/>
      <c r="I6" s="160"/>
      <c r="J6" s="160"/>
      <c r="K6" s="160"/>
      <c r="L6" s="160"/>
      <c r="M6" s="160"/>
      <c r="N6" s="160"/>
      <c r="O6" s="160"/>
      <c r="P6" s="160"/>
      <c r="Q6" s="160"/>
      <c r="R6" s="160"/>
      <c r="S6" s="160"/>
      <c r="T6" s="160"/>
      <c r="U6" s="160"/>
      <c r="V6" s="160"/>
    </row>
    <row r="7" spans="1:24" ht="29.25" customHeight="1" x14ac:dyDescent="0.35">
      <c r="A7" s="47"/>
      <c r="B7" s="248" t="s">
        <v>254</v>
      </c>
      <c r="C7" s="249"/>
      <c r="D7" s="252" t="s">
        <v>255</v>
      </c>
      <c r="E7" s="245" t="s">
        <v>256</v>
      </c>
      <c r="F7" s="246"/>
      <c r="G7" s="246"/>
      <c r="H7" s="246"/>
      <c r="I7" s="246"/>
      <c r="J7" s="247"/>
      <c r="K7" s="245" t="s">
        <v>257</v>
      </c>
      <c r="L7" s="246"/>
      <c r="M7" s="246"/>
      <c r="N7" s="246"/>
      <c r="O7" s="246"/>
      <c r="P7" s="247"/>
      <c r="Q7" s="245" t="s">
        <v>258</v>
      </c>
      <c r="R7" s="246"/>
      <c r="S7" s="246"/>
      <c r="T7" s="246"/>
      <c r="U7" s="246"/>
      <c r="V7" s="247"/>
    </row>
    <row r="8" spans="1:24" ht="43.5" customHeight="1" x14ac:dyDescent="0.35">
      <c r="A8" s="47"/>
      <c r="B8" s="250"/>
      <c r="C8" s="251"/>
      <c r="D8" s="253"/>
      <c r="E8" s="93">
        <v>2015</v>
      </c>
      <c r="F8" s="93">
        <v>2016</v>
      </c>
      <c r="G8" s="93">
        <v>2017</v>
      </c>
      <c r="H8" s="93">
        <v>2018</v>
      </c>
      <c r="I8" s="93">
        <v>2019</v>
      </c>
      <c r="J8" s="93" t="s">
        <v>259</v>
      </c>
      <c r="K8" s="93">
        <v>2015</v>
      </c>
      <c r="L8" s="93">
        <v>2016</v>
      </c>
      <c r="M8" s="93">
        <v>2017</v>
      </c>
      <c r="N8" s="93">
        <v>2018</v>
      </c>
      <c r="O8" s="93">
        <v>2019</v>
      </c>
      <c r="P8" s="93" t="s">
        <v>259</v>
      </c>
      <c r="Q8" s="93">
        <v>2015</v>
      </c>
      <c r="R8" s="93">
        <v>2016</v>
      </c>
      <c r="S8" s="93">
        <v>2017</v>
      </c>
      <c r="T8" s="93">
        <v>2018</v>
      </c>
      <c r="U8" s="93">
        <v>2019</v>
      </c>
      <c r="V8" s="93" t="s">
        <v>259</v>
      </c>
    </row>
    <row r="9" spans="1:24" x14ac:dyDescent="0.35">
      <c r="A9" s="47"/>
      <c r="B9" s="242" t="s">
        <v>102</v>
      </c>
      <c r="C9" s="94" t="s">
        <v>103</v>
      </c>
      <c r="D9" s="92" t="s">
        <v>659</v>
      </c>
      <c r="E9" s="162">
        <v>3</v>
      </c>
      <c r="F9" s="162">
        <v>0</v>
      </c>
      <c r="G9" s="162">
        <v>0</v>
      </c>
      <c r="H9" s="162">
        <v>2</v>
      </c>
      <c r="I9" s="162">
        <v>1</v>
      </c>
      <c r="J9" s="162">
        <f>AVERAGE(E9:I9)</f>
        <v>1.2</v>
      </c>
      <c r="K9" s="163">
        <f>IF(E9=0,0,Q9/E9)</f>
        <v>0</v>
      </c>
      <c r="L9" s="163">
        <f t="shared" ref="L9:O24" si="0">IF(F9=0,0,R9/F9)</f>
        <v>0</v>
      </c>
      <c r="M9" s="163">
        <f t="shared" si="0"/>
        <v>0</v>
      </c>
      <c r="N9" s="163">
        <f t="shared" si="0"/>
        <v>0</v>
      </c>
      <c r="O9" s="163">
        <f t="shared" si="0"/>
        <v>1</v>
      </c>
      <c r="P9" s="163">
        <f>IF(J9=0,0,V9/J9)</f>
        <v>0.16666666666666669</v>
      </c>
      <c r="Q9" s="162">
        <v>0</v>
      </c>
      <c r="R9" s="162">
        <v>0</v>
      </c>
      <c r="S9" s="162">
        <v>0</v>
      </c>
      <c r="T9" s="162">
        <v>0</v>
      </c>
      <c r="U9" s="162">
        <v>1</v>
      </c>
      <c r="V9" s="162">
        <f>AVERAGE(Q9:U9)</f>
        <v>0.2</v>
      </c>
      <c r="X9" s="178"/>
    </row>
    <row r="10" spans="1:24" x14ac:dyDescent="0.35">
      <c r="A10" s="47"/>
      <c r="B10" s="243"/>
      <c r="C10" s="94" t="s">
        <v>104</v>
      </c>
      <c r="D10" s="92" t="s">
        <v>659</v>
      </c>
      <c r="E10" s="162">
        <v>0</v>
      </c>
      <c r="F10" s="162">
        <v>0</v>
      </c>
      <c r="G10" s="162">
        <v>0</v>
      </c>
      <c r="H10" s="162">
        <v>0</v>
      </c>
      <c r="I10" s="162">
        <v>0</v>
      </c>
      <c r="J10" s="162">
        <f t="shared" ref="J10:J33" si="1">AVERAGE(E10:I10)</f>
        <v>0</v>
      </c>
      <c r="K10" s="163">
        <f t="shared" ref="K10:K33" si="2">IF(E10=0,0,Q10/E10)</f>
        <v>0</v>
      </c>
      <c r="L10" s="163">
        <f t="shared" si="0"/>
        <v>0</v>
      </c>
      <c r="M10" s="163">
        <f t="shared" si="0"/>
        <v>0</v>
      </c>
      <c r="N10" s="163">
        <f t="shared" si="0"/>
        <v>0</v>
      </c>
      <c r="O10" s="163">
        <f t="shared" si="0"/>
        <v>0</v>
      </c>
      <c r="P10" s="163">
        <f t="shared" ref="P10:P33" si="3">IF(J10=0,0,V10/J10)</f>
        <v>0</v>
      </c>
      <c r="Q10" s="162">
        <v>0</v>
      </c>
      <c r="R10" s="162">
        <v>0</v>
      </c>
      <c r="S10" s="162">
        <v>0</v>
      </c>
      <c r="T10" s="162">
        <v>0</v>
      </c>
      <c r="U10" s="162">
        <v>0</v>
      </c>
      <c r="V10" s="162">
        <f t="shared" ref="V10:V33" si="4">AVERAGE(Q10:U10)</f>
        <v>0</v>
      </c>
      <c r="X10" s="178"/>
    </row>
    <row r="11" spans="1:24" x14ac:dyDescent="0.35">
      <c r="A11" s="47"/>
      <c r="B11" s="243"/>
      <c r="C11" s="95" t="s">
        <v>64</v>
      </c>
      <c r="D11" s="92" t="s">
        <v>659</v>
      </c>
      <c r="E11" s="162">
        <v>18</v>
      </c>
      <c r="F11" s="162">
        <v>3</v>
      </c>
      <c r="G11" s="162">
        <v>11</v>
      </c>
      <c r="H11" s="162">
        <v>2</v>
      </c>
      <c r="I11" s="162">
        <v>2</v>
      </c>
      <c r="J11" s="162">
        <f t="shared" si="1"/>
        <v>7.2</v>
      </c>
      <c r="K11" s="163">
        <f t="shared" si="2"/>
        <v>0</v>
      </c>
      <c r="L11" s="163">
        <f t="shared" si="0"/>
        <v>0</v>
      </c>
      <c r="M11" s="163">
        <f t="shared" si="0"/>
        <v>0</v>
      </c>
      <c r="N11" s="163">
        <f t="shared" si="0"/>
        <v>0</v>
      </c>
      <c r="O11" s="163">
        <f t="shared" si="0"/>
        <v>0</v>
      </c>
      <c r="P11" s="163">
        <f t="shared" si="3"/>
        <v>0</v>
      </c>
      <c r="Q11" s="162">
        <v>0</v>
      </c>
      <c r="R11" s="162">
        <v>0</v>
      </c>
      <c r="S11" s="162">
        <v>0</v>
      </c>
      <c r="T11" s="162">
        <v>0</v>
      </c>
      <c r="U11" s="162">
        <v>0</v>
      </c>
      <c r="V11" s="162">
        <f t="shared" si="4"/>
        <v>0</v>
      </c>
      <c r="X11" s="178"/>
    </row>
    <row r="12" spans="1:24" x14ac:dyDescent="0.35">
      <c r="A12" s="47"/>
      <c r="B12" s="243"/>
      <c r="C12" s="95" t="s">
        <v>662</v>
      </c>
      <c r="D12" s="92" t="s">
        <v>659</v>
      </c>
      <c r="E12" s="162">
        <v>0</v>
      </c>
      <c r="F12" s="162">
        <v>1</v>
      </c>
      <c r="G12" s="162">
        <v>0</v>
      </c>
      <c r="H12" s="162">
        <v>1</v>
      </c>
      <c r="I12" s="162">
        <v>0</v>
      </c>
      <c r="J12" s="162">
        <f t="shared" si="1"/>
        <v>0.4</v>
      </c>
      <c r="K12" s="163">
        <f t="shared" si="2"/>
        <v>0</v>
      </c>
      <c r="L12" s="163">
        <f t="shared" si="0"/>
        <v>0</v>
      </c>
      <c r="M12" s="163">
        <f t="shared" si="0"/>
        <v>0</v>
      </c>
      <c r="N12" s="163">
        <f t="shared" si="0"/>
        <v>0</v>
      </c>
      <c r="O12" s="163">
        <f t="shared" si="0"/>
        <v>0</v>
      </c>
      <c r="P12" s="163">
        <f t="shared" si="3"/>
        <v>0</v>
      </c>
      <c r="Q12" s="162">
        <v>0</v>
      </c>
      <c r="R12" s="162">
        <v>0</v>
      </c>
      <c r="S12" s="162">
        <v>0</v>
      </c>
      <c r="T12" s="162">
        <v>0</v>
      </c>
      <c r="U12" s="162">
        <v>0</v>
      </c>
      <c r="V12" s="162">
        <f t="shared" si="4"/>
        <v>0</v>
      </c>
      <c r="X12" s="178"/>
    </row>
    <row r="13" spans="1:24" x14ac:dyDescent="0.35">
      <c r="A13" s="47"/>
      <c r="B13" s="243"/>
      <c r="C13" s="94" t="s">
        <v>260</v>
      </c>
      <c r="D13" s="92" t="s">
        <v>659</v>
      </c>
      <c r="E13" s="162">
        <v>5</v>
      </c>
      <c r="F13" s="162">
        <v>1</v>
      </c>
      <c r="G13" s="162">
        <v>5</v>
      </c>
      <c r="H13" s="162">
        <v>1</v>
      </c>
      <c r="I13" s="162">
        <v>7</v>
      </c>
      <c r="J13" s="162">
        <f t="shared" si="1"/>
        <v>3.8</v>
      </c>
      <c r="K13" s="163">
        <f t="shared" si="2"/>
        <v>0</v>
      </c>
      <c r="L13" s="163">
        <f t="shared" si="0"/>
        <v>0</v>
      </c>
      <c r="M13" s="163">
        <f t="shared" si="0"/>
        <v>0</v>
      </c>
      <c r="N13" s="163">
        <f t="shared" si="0"/>
        <v>0</v>
      </c>
      <c r="O13" s="163">
        <f t="shared" si="0"/>
        <v>0</v>
      </c>
      <c r="P13" s="163">
        <f t="shared" si="3"/>
        <v>0</v>
      </c>
      <c r="Q13" s="162">
        <v>0</v>
      </c>
      <c r="R13" s="162">
        <v>0</v>
      </c>
      <c r="S13" s="162">
        <v>0</v>
      </c>
      <c r="T13" s="162">
        <v>0</v>
      </c>
      <c r="U13" s="162">
        <v>0</v>
      </c>
      <c r="V13" s="162">
        <f t="shared" si="4"/>
        <v>0</v>
      </c>
      <c r="X13" s="178"/>
    </row>
    <row r="14" spans="1:24" x14ac:dyDescent="0.35">
      <c r="A14" s="47"/>
      <c r="B14" s="244"/>
      <c r="C14" s="94" t="s">
        <v>105</v>
      </c>
      <c r="D14" s="92" t="s">
        <v>659</v>
      </c>
      <c r="E14" s="162">
        <v>1</v>
      </c>
      <c r="F14" s="162">
        <v>0</v>
      </c>
      <c r="G14" s="162">
        <v>0</v>
      </c>
      <c r="H14" s="162">
        <v>1</v>
      </c>
      <c r="I14" s="162">
        <v>0</v>
      </c>
      <c r="J14" s="162">
        <f t="shared" si="1"/>
        <v>0.4</v>
      </c>
      <c r="K14" s="163">
        <f t="shared" si="2"/>
        <v>0</v>
      </c>
      <c r="L14" s="163">
        <f t="shared" si="0"/>
        <v>0</v>
      </c>
      <c r="M14" s="163">
        <f t="shared" si="0"/>
        <v>0</v>
      </c>
      <c r="N14" s="163">
        <f t="shared" si="0"/>
        <v>0</v>
      </c>
      <c r="O14" s="163">
        <f t="shared" si="0"/>
        <v>0</v>
      </c>
      <c r="P14" s="163">
        <f t="shared" si="3"/>
        <v>0</v>
      </c>
      <c r="Q14" s="162">
        <v>0</v>
      </c>
      <c r="R14" s="162">
        <v>0</v>
      </c>
      <c r="S14" s="162">
        <v>0</v>
      </c>
      <c r="T14" s="162">
        <v>0</v>
      </c>
      <c r="U14" s="162">
        <v>0</v>
      </c>
      <c r="V14" s="162">
        <f t="shared" si="4"/>
        <v>0</v>
      </c>
      <c r="X14" s="178"/>
    </row>
    <row r="15" spans="1:24" x14ac:dyDescent="0.35">
      <c r="A15" s="47"/>
      <c r="B15" s="239" t="s">
        <v>663</v>
      </c>
      <c r="C15" s="240"/>
      <c r="D15" s="92" t="s">
        <v>659</v>
      </c>
      <c r="E15" s="162">
        <v>1</v>
      </c>
      <c r="F15" s="162">
        <v>2</v>
      </c>
      <c r="G15" s="162">
        <v>1</v>
      </c>
      <c r="H15" s="162">
        <v>3</v>
      </c>
      <c r="I15" s="162">
        <v>2</v>
      </c>
      <c r="J15" s="162">
        <f t="shared" si="1"/>
        <v>1.8</v>
      </c>
      <c r="K15" s="163">
        <f t="shared" si="2"/>
        <v>0</v>
      </c>
      <c r="L15" s="163">
        <f t="shared" si="0"/>
        <v>0</v>
      </c>
      <c r="M15" s="163">
        <f t="shared" si="0"/>
        <v>0</v>
      </c>
      <c r="N15" s="163">
        <f t="shared" si="0"/>
        <v>0</v>
      </c>
      <c r="O15" s="163">
        <f t="shared" si="0"/>
        <v>0</v>
      </c>
      <c r="P15" s="163">
        <f t="shared" si="3"/>
        <v>0</v>
      </c>
      <c r="Q15" s="162">
        <v>0</v>
      </c>
      <c r="R15" s="162">
        <v>0</v>
      </c>
      <c r="S15" s="162">
        <v>0</v>
      </c>
      <c r="T15" s="162">
        <v>0</v>
      </c>
      <c r="U15" s="162">
        <v>0</v>
      </c>
      <c r="V15" s="162">
        <f t="shared" si="4"/>
        <v>0</v>
      </c>
      <c r="X15" s="178"/>
    </row>
    <row r="16" spans="1:24" x14ac:dyDescent="0.35">
      <c r="A16" s="47"/>
      <c r="B16" s="242" t="s">
        <v>261</v>
      </c>
      <c r="C16" s="94" t="s">
        <v>664</v>
      </c>
      <c r="D16" s="92" t="s">
        <v>659</v>
      </c>
      <c r="E16" s="162">
        <v>3</v>
      </c>
      <c r="F16" s="162">
        <v>6</v>
      </c>
      <c r="G16" s="162">
        <v>1</v>
      </c>
      <c r="H16" s="162">
        <v>0</v>
      </c>
      <c r="I16" s="162">
        <v>1</v>
      </c>
      <c r="J16" s="162">
        <f t="shared" si="1"/>
        <v>2.2000000000000002</v>
      </c>
      <c r="K16" s="163">
        <f t="shared" si="2"/>
        <v>0</v>
      </c>
      <c r="L16" s="163">
        <f t="shared" si="0"/>
        <v>0</v>
      </c>
      <c r="M16" s="163">
        <f t="shared" si="0"/>
        <v>0</v>
      </c>
      <c r="N16" s="163">
        <f t="shared" si="0"/>
        <v>0</v>
      </c>
      <c r="O16" s="163">
        <f t="shared" si="0"/>
        <v>0</v>
      </c>
      <c r="P16" s="163">
        <f t="shared" si="3"/>
        <v>0</v>
      </c>
      <c r="Q16" s="162">
        <v>0</v>
      </c>
      <c r="R16" s="162">
        <v>0</v>
      </c>
      <c r="S16" s="162">
        <v>0</v>
      </c>
      <c r="T16" s="162">
        <v>0</v>
      </c>
      <c r="U16" s="162">
        <v>0</v>
      </c>
      <c r="V16" s="162">
        <f t="shared" si="4"/>
        <v>0</v>
      </c>
      <c r="X16" s="178"/>
    </row>
    <row r="17" spans="1:24" x14ac:dyDescent="0.35">
      <c r="A17" s="47"/>
      <c r="B17" s="243"/>
      <c r="C17" s="94" t="s">
        <v>665</v>
      </c>
      <c r="D17" s="92" t="s">
        <v>659</v>
      </c>
      <c r="E17" s="162">
        <v>0</v>
      </c>
      <c r="F17" s="162">
        <v>0</v>
      </c>
      <c r="G17" s="162">
        <v>0</v>
      </c>
      <c r="H17" s="162">
        <v>0</v>
      </c>
      <c r="I17" s="162">
        <v>0</v>
      </c>
      <c r="J17" s="162">
        <f t="shared" si="1"/>
        <v>0</v>
      </c>
      <c r="K17" s="163">
        <f t="shared" si="2"/>
        <v>0</v>
      </c>
      <c r="L17" s="163">
        <f t="shared" si="0"/>
        <v>0</v>
      </c>
      <c r="M17" s="163">
        <f t="shared" si="0"/>
        <v>0</v>
      </c>
      <c r="N17" s="163">
        <f t="shared" si="0"/>
        <v>0</v>
      </c>
      <c r="O17" s="163">
        <f t="shared" si="0"/>
        <v>0</v>
      </c>
      <c r="P17" s="163">
        <f t="shared" si="3"/>
        <v>0</v>
      </c>
      <c r="Q17" s="162">
        <v>0</v>
      </c>
      <c r="R17" s="162">
        <v>0</v>
      </c>
      <c r="S17" s="162">
        <v>0</v>
      </c>
      <c r="T17" s="162">
        <v>0</v>
      </c>
      <c r="U17" s="162">
        <v>0</v>
      </c>
      <c r="V17" s="162">
        <f t="shared" si="4"/>
        <v>0</v>
      </c>
      <c r="X17" s="178"/>
    </row>
    <row r="18" spans="1:24" x14ac:dyDescent="0.35">
      <c r="A18" s="47"/>
      <c r="B18" s="243"/>
      <c r="C18" s="94" t="s">
        <v>666</v>
      </c>
      <c r="D18" s="92" t="s">
        <v>659</v>
      </c>
      <c r="E18" s="162">
        <v>0</v>
      </c>
      <c r="F18" s="162">
        <v>0</v>
      </c>
      <c r="G18" s="162">
        <v>0</v>
      </c>
      <c r="H18" s="162">
        <v>0</v>
      </c>
      <c r="I18" s="162">
        <v>0</v>
      </c>
      <c r="J18" s="162">
        <f t="shared" si="1"/>
        <v>0</v>
      </c>
      <c r="K18" s="163">
        <f t="shared" si="2"/>
        <v>0</v>
      </c>
      <c r="L18" s="163">
        <f t="shared" si="0"/>
        <v>0</v>
      </c>
      <c r="M18" s="163">
        <f t="shared" si="0"/>
        <v>0</v>
      </c>
      <c r="N18" s="163">
        <f t="shared" si="0"/>
        <v>0</v>
      </c>
      <c r="O18" s="163">
        <f t="shared" si="0"/>
        <v>0</v>
      </c>
      <c r="P18" s="163">
        <f t="shared" si="3"/>
        <v>0</v>
      </c>
      <c r="Q18" s="162">
        <v>0</v>
      </c>
      <c r="R18" s="162">
        <v>0</v>
      </c>
      <c r="S18" s="162">
        <v>0</v>
      </c>
      <c r="T18" s="162">
        <v>0</v>
      </c>
      <c r="U18" s="162">
        <v>0</v>
      </c>
      <c r="V18" s="162">
        <f t="shared" si="4"/>
        <v>0</v>
      </c>
      <c r="X18" s="178"/>
    </row>
    <row r="19" spans="1:24" x14ac:dyDescent="0.35">
      <c r="A19" s="47"/>
      <c r="B19" s="243"/>
      <c r="C19" s="94" t="s">
        <v>667</v>
      </c>
      <c r="D19" s="92" t="s">
        <v>659</v>
      </c>
      <c r="E19" s="162">
        <v>0</v>
      </c>
      <c r="F19" s="162">
        <v>0</v>
      </c>
      <c r="G19" s="162">
        <v>0</v>
      </c>
      <c r="H19" s="162">
        <v>0</v>
      </c>
      <c r="I19" s="162">
        <v>0</v>
      </c>
      <c r="J19" s="162">
        <f t="shared" si="1"/>
        <v>0</v>
      </c>
      <c r="K19" s="163">
        <f t="shared" si="2"/>
        <v>0</v>
      </c>
      <c r="L19" s="163">
        <f t="shared" si="0"/>
        <v>0</v>
      </c>
      <c r="M19" s="163">
        <f t="shared" si="0"/>
        <v>0</v>
      </c>
      <c r="N19" s="163">
        <f t="shared" si="0"/>
        <v>0</v>
      </c>
      <c r="O19" s="163">
        <f t="shared" si="0"/>
        <v>0</v>
      </c>
      <c r="P19" s="163">
        <f t="shared" si="3"/>
        <v>0</v>
      </c>
      <c r="Q19" s="162">
        <v>0</v>
      </c>
      <c r="R19" s="162">
        <v>0</v>
      </c>
      <c r="S19" s="162">
        <v>0</v>
      </c>
      <c r="T19" s="162">
        <v>0</v>
      </c>
      <c r="U19" s="162">
        <v>0</v>
      </c>
      <c r="V19" s="162">
        <f t="shared" si="4"/>
        <v>0</v>
      </c>
      <c r="X19" s="178"/>
    </row>
    <row r="20" spans="1:24" x14ac:dyDescent="0.35">
      <c r="A20" s="47"/>
      <c r="B20" s="243"/>
      <c r="C20" s="94" t="s">
        <v>668</v>
      </c>
      <c r="D20" s="92" t="s">
        <v>659</v>
      </c>
      <c r="E20" s="162">
        <v>0</v>
      </c>
      <c r="F20" s="162">
        <v>0</v>
      </c>
      <c r="G20" s="162">
        <v>0</v>
      </c>
      <c r="H20" s="162">
        <v>0</v>
      </c>
      <c r="I20" s="162">
        <v>0</v>
      </c>
      <c r="J20" s="162">
        <f t="shared" si="1"/>
        <v>0</v>
      </c>
      <c r="K20" s="163">
        <f t="shared" si="2"/>
        <v>0</v>
      </c>
      <c r="L20" s="163">
        <f t="shared" si="0"/>
        <v>0</v>
      </c>
      <c r="M20" s="163">
        <f t="shared" si="0"/>
        <v>0</v>
      </c>
      <c r="N20" s="163">
        <f t="shared" si="0"/>
        <v>0</v>
      </c>
      <c r="O20" s="163">
        <f t="shared" si="0"/>
        <v>0</v>
      </c>
      <c r="P20" s="163">
        <f t="shared" si="3"/>
        <v>0</v>
      </c>
      <c r="Q20" s="162">
        <v>0</v>
      </c>
      <c r="R20" s="162">
        <v>0</v>
      </c>
      <c r="S20" s="162">
        <v>0</v>
      </c>
      <c r="T20" s="162">
        <v>0</v>
      </c>
      <c r="U20" s="162">
        <v>0</v>
      </c>
      <c r="V20" s="162">
        <f t="shared" si="4"/>
        <v>0</v>
      </c>
      <c r="X20" s="178"/>
    </row>
    <row r="21" spans="1:24" x14ac:dyDescent="0.35">
      <c r="A21" s="47"/>
      <c r="B21" s="243"/>
      <c r="C21" s="94" t="s">
        <v>64</v>
      </c>
      <c r="D21" s="92" t="s">
        <v>659</v>
      </c>
      <c r="E21" s="162">
        <v>2</v>
      </c>
      <c r="F21" s="162">
        <v>0</v>
      </c>
      <c r="G21" s="162">
        <v>1</v>
      </c>
      <c r="H21" s="162">
        <v>4</v>
      </c>
      <c r="I21" s="162">
        <v>0</v>
      </c>
      <c r="J21" s="162">
        <f t="shared" si="1"/>
        <v>1.4</v>
      </c>
      <c r="K21" s="163">
        <f t="shared" si="2"/>
        <v>0</v>
      </c>
      <c r="L21" s="163">
        <f t="shared" si="0"/>
        <v>0</v>
      </c>
      <c r="M21" s="163">
        <f t="shared" si="0"/>
        <v>0</v>
      </c>
      <c r="N21" s="163">
        <f t="shared" si="0"/>
        <v>0</v>
      </c>
      <c r="O21" s="163">
        <f t="shared" si="0"/>
        <v>0</v>
      </c>
      <c r="P21" s="163">
        <f t="shared" si="3"/>
        <v>0</v>
      </c>
      <c r="Q21" s="162">
        <v>0</v>
      </c>
      <c r="R21" s="162">
        <v>0</v>
      </c>
      <c r="S21" s="162">
        <v>0</v>
      </c>
      <c r="T21" s="162">
        <v>0</v>
      </c>
      <c r="U21" s="162">
        <v>0</v>
      </c>
      <c r="V21" s="162">
        <f t="shared" si="4"/>
        <v>0</v>
      </c>
      <c r="X21" s="178"/>
    </row>
    <row r="22" spans="1:24" x14ac:dyDescent="0.35">
      <c r="A22" s="47"/>
      <c r="B22" s="243"/>
      <c r="C22" s="94" t="s">
        <v>669</v>
      </c>
      <c r="D22" s="92" t="s">
        <v>659</v>
      </c>
      <c r="E22" s="162">
        <v>0</v>
      </c>
      <c r="F22" s="162">
        <v>0</v>
      </c>
      <c r="G22" s="162">
        <v>0</v>
      </c>
      <c r="H22" s="162">
        <v>0</v>
      </c>
      <c r="I22" s="162">
        <v>0</v>
      </c>
      <c r="J22" s="162">
        <f t="shared" si="1"/>
        <v>0</v>
      </c>
      <c r="K22" s="163">
        <f t="shared" si="2"/>
        <v>0</v>
      </c>
      <c r="L22" s="163">
        <f t="shared" si="0"/>
        <v>0</v>
      </c>
      <c r="M22" s="163">
        <f t="shared" si="0"/>
        <v>0</v>
      </c>
      <c r="N22" s="163">
        <f t="shared" si="0"/>
        <v>0</v>
      </c>
      <c r="O22" s="163">
        <f t="shared" si="0"/>
        <v>0</v>
      </c>
      <c r="P22" s="163">
        <f t="shared" si="3"/>
        <v>0</v>
      </c>
      <c r="Q22" s="162">
        <v>0</v>
      </c>
      <c r="R22" s="162">
        <v>0</v>
      </c>
      <c r="S22" s="162">
        <v>0</v>
      </c>
      <c r="T22" s="162">
        <v>0</v>
      </c>
      <c r="U22" s="162">
        <v>0</v>
      </c>
      <c r="V22" s="162">
        <f t="shared" si="4"/>
        <v>0</v>
      </c>
      <c r="X22" s="178"/>
    </row>
    <row r="23" spans="1:24" x14ac:dyDescent="0.35">
      <c r="A23" s="47"/>
      <c r="B23" s="243"/>
      <c r="C23" s="94" t="s">
        <v>670</v>
      </c>
      <c r="D23" s="92" t="s">
        <v>659</v>
      </c>
      <c r="E23" s="162">
        <v>0</v>
      </c>
      <c r="F23" s="162">
        <v>0</v>
      </c>
      <c r="G23" s="162">
        <v>0</v>
      </c>
      <c r="H23" s="162">
        <v>0</v>
      </c>
      <c r="I23" s="162">
        <v>0</v>
      </c>
      <c r="J23" s="162">
        <f t="shared" si="1"/>
        <v>0</v>
      </c>
      <c r="K23" s="163">
        <f t="shared" si="2"/>
        <v>0</v>
      </c>
      <c r="L23" s="163">
        <f t="shared" si="0"/>
        <v>0</v>
      </c>
      <c r="M23" s="163">
        <f t="shared" si="0"/>
        <v>0</v>
      </c>
      <c r="N23" s="163">
        <f t="shared" si="0"/>
        <v>0</v>
      </c>
      <c r="O23" s="163">
        <f t="shared" si="0"/>
        <v>0</v>
      </c>
      <c r="P23" s="163">
        <f t="shared" si="3"/>
        <v>0</v>
      </c>
      <c r="Q23" s="162">
        <v>0</v>
      </c>
      <c r="R23" s="162">
        <v>0</v>
      </c>
      <c r="S23" s="162">
        <v>0</v>
      </c>
      <c r="T23" s="162">
        <v>0</v>
      </c>
      <c r="U23" s="162">
        <v>0</v>
      </c>
      <c r="V23" s="162">
        <f t="shared" si="4"/>
        <v>0</v>
      </c>
      <c r="X23" s="178"/>
    </row>
    <row r="24" spans="1:24" x14ac:dyDescent="0.35">
      <c r="A24" s="47"/>
      <c r="B24" s="243"/>
      <c r="C24" s="94" t="s">
        <v>671</v>
      </c>
      <c r="D24" s="92" t="s">
        <v>659</v>
      </c>
      <c r="E24" s="162">
        <v>0</v>
      </c>
      <c r="F24" s="162">
        <v>0</v>
      </c>
      <c r="G24" s="162">
        <v>0</v>
      </c>
      <c r="H24" s="162">
        <v>0</v>
      </c>
      <c r="I24" s="162">
        <v>1</v>
      </c>
      <c r="J24" s="162">
        <f t="shared" si="1"/>
        <v>0.2</v>
      </c>
      <c r="K24" s="163">
        <f t="shared" si="2"/>
        <v>0</v>
      </c>
      <c r="L24" s="163">
        <f t="shared" si="0"/>
        <v>0</v>
      </c>
      <c r="M24" s="163">
        <f t="shared" si="0"/>
        <v>0</v>
      </c>
      <c r="N24" s="163">
        <f t="shared" si="0"/>
        <v>0</v>
      </c>
      <c r="O24" s="163">
        <f t="shared" si="0"/>
        <v>1</v>
      </c>
      <c r="P24" s="163">
        <f t="shared" si="3"/>
        <v>1</v>
      </c>
      <c r="Q24" s="162">
        <v>0</v>
      </c>
      <c r="R24" s="162">
        <v>0</v>
      </c>
      <c r="S24" s="162">
        <v>0</v>
      </c>
      <c r="T24" s="162">
        <v>0</v>
      </c>
      <c r="U24" s="162">
        <v>1</v>
      </c>
      <c r="V24" s="162">
        <f t="shared" si="4"/>
        <v>0.2</v>
      </c>
      <c r="X24" s="178"/>
    </row>
    <row r="25" spans="1:24" x14ac:dyDescent="0.35">
      <c r="A25" s="47"/>
      <c r="B25" s="243"/>
      <c r="C25" s="94" t="s">
        <v>672</v>
      </c>
      <c r="D25" s="92" t="s">
        <v>659</v>
      </c>
      <c r="E25" s="162">
        <v>0</v>
      </c>
      <c r="F25" s="162">
        <v>0</v>
      </c>
      <c r="G25" s="162">
        <v>0</v>
      </c>
      <c r="H25" s="162">
        <v>0</v>
      </c>
      <c r="I25" s="162">
        <v>0</v>
      </c>
      <c r="J25" s="162">
        <f t="shared" si="1"/>
        <v>0</v>
      </c>
      <c r="K25" s="163">
        <f t="shared" si="2"/>
        <v>0</v>
      </c>
      <c r="L25" s="163">
        <f t="shared" ref="L25:L33" si="5">IF(F25=0,0,R25/F25)</f>
        <v>0</v>
      </c>
      <c r="M25" s="163">
        <f t="shared" ref="M25:M33" si="6">IF(G25=0,0,S25/G25)</f>
        <v>0</v>
      </c>
      <c r="N25" s="163">
        <f t="shared" ref="N25:N33" si="7">IF(H25=0,0,T25/H25)</f>
        <v>0</v>
      </c>
      <c r="O25" s="163">
        <f t="shared" ref="O25:O33" si="8">IF(I25=0,0,U25/I25)</f>
        <v>0</v>
      </c>
      <c r="P25" s="163">
        <f t="shared" si="3"/>
        <v>0</v>
      </c>
      <c r="Q25" s="162">
        <v>0</v>
      </c>
      <c r="R25" s="162">
        <v>0</v>
      </c>
      <c r="S25" s="162">
        <v>0</v>
      </c>
      <c r="T25" s="162">
        <v>0</v>
      </c>
      <c r="U25" s="162">
        <v>0</v>
      </c>
      <c r="V25" s="162">
        <f t="shared" si="4"/>
        <v>0</v>
      </c>
      <c r="X25" s="178"/>
    </row>
    <row r="26" spans="1:24" x14ac:dyDescent="0.35">
      <c r="B26" s="243"/>
      <c r="C26" s="94" t="s">
        <v>673</v>
      </c>
      <c r="D26" s="92" t="s">
        <v>659</v>
      </c>
      <c r="E26" s="162">
        <v>0</v>
      </c>
      <c r="F26" s="162">
        <v>0</v>
      </c>
      <c r="G26" s="162">
        <v>0</v>
      </c>
      <c r="H26" s="162">
        <v>0</v>
      </c>
      <c r="I26" s="162">
        <v>0</v>
      </c>
      <c r="J26" s="162">
        <f t="shared" si="1"/>
        <v>0</v>
      </c>
      <c r="K26" s="163">
        <f t="shared" si="2"/>
        <v>0</v>
      </c>
      <c r="L26" s="163">
        <f t="shared" si="5"/>
        <v>0</v>
      </c>
      <c r="M26" s="163">
        <f t="shared" si="6"/>
        <v>0</v>
      </c>
      <c r="N26" s="163">
        <f t="shared" si="7"/>
        <v>0</v>
      </c>
      <c r="O26" s="163">
        <f t="shared" si="8"/>
        <v>0</v>
      </c>
      <c r="P26" s="163">
        <f t="shared" si="3"/>
        <v>0</v>
      </c>
      <c r="Q26" s="162">
        <v>0</v>
      </c>
      <c r="R26" s="162">
        <v>0</v>
      </c>
      <c r="S26" s="162">
        <v>0</v>
      </c>
      <c r="T26" s="162">
        <v>0</v>
      </c>
      <c r="U26" s="162">
        <v>0</v>
      </c>
      <c r="V26" s="162">
        <f t="shared" si="4"/>
        <v>0</v>
      </c>
      <c r="X26" s="178"/>
    </row>
    <row r="27" spans="1:24" x14ac:dyDescent="0.35">
      <c r="B27" s="244"/>
      <c r="C27" s="94" t="s">
        <v>674</v>
      </c>
      <c r="D27" s="92" t="s">
        <v>659</v>
      </c>
      <c r="E27" s="162">
        <v>0</v>
      </c>
      <c r="F27" s="162">
        <v>0</v>
      </c>
      <c r="G27" s="162">
        <v>0</v>
      </c>
      <c r="H27" s="162">
        <v>0</v>
      </c>
      <c r="I27" s="162">
        <v>0</v>
      </c>
      <c r="J27" s="162">
        <f t="shared" si="1"/>
        <v>0</v>
      </c>
      <c r="K27" s="163">
        <f t="shared" si="2"/>
        <v>0</v>
      </c>
      <c r="L27" s="163">
        <f t="shared" si="5"/>
        <v>0</v>
      </c>
      <c r="M27" s="163">
        <f t="shared" si="6"/>
        <v>0</v>
      </c>
      <c r="N27" s="163">
        <f t="shared" si="7"/>
        <v>0</v>
      </c>
      <c r="O27" s="163">
        <f t="shared" si="8"/>
        <v>0</v>
      </c>
      <c r="P27" s="163">
        <f t="shared" si="3"/>
        <v>0</v>
      </c>
      <c r="Q27" s="162">
        <v>0</v>
      </c>
      <c r="R27" s="162">
        <v>0</v>
      </c>
      <c r="S27" s="162">
        <v>0</v>
      </c>
      <c r="T27" s="162">
        <v>0</v>
      </c>
      <c r="U27" s="162">
        <v>0</v>
      </c>
      <c r="V27" s="162">
        <f t="shared" si="4"/>
        <v>0</v>
      </c>
      <c r="X27" s="178"/>
    </row>
    <row r="28" spans="1:24" x14ac:dyDescent="0.35">
      <c r="B28" s="239" t="s">
        <v>675</v>
      </c>
      <c r="C28" s="240"/>
      <c r="D28" s="92" t="s">
        <v>659</v>
      </c>
      <c r="E28" s="162">
        <v>3</v>
      </c>
      <c r="F28" s="162">
        <v>2</v>
      </c>
      <c r="G28" s="162">
        <v>1</v>
      </c>
      <c r="H28" s="162">
        <v>1</v>
      </c>
      <c r="I28" s="162">
        <v>0</v>
      </c>
      <c r="J28" s="162">
        <f t="shared" si="1"/>
        <v>1.4</v>
      </c>
      <c r="K28" s="163">
        <f t="shared" si="2"/>
        <v>0</v>
      </c>
      <c r="L28" s="163">
        <f t="shared" si="5"/>
        <v>0</v>
      </c>
      <c r="M28" s="163">
        <f t="shared" si="6"/>
        <v>0</v>
      </c>
      <c r="N28" s="163">
        <f t="shared" si="7"/>
        <v>0</v>
      </c>
      <c r="O28" s="163">
        <f t="shared" si="8"/>
        <v>0</v>
      </c>
      <c r="P28" s="163">
        <f t="shared" si="3"/>
        <v>0</v>
      </c>
      <c r="Q28" s="162">
        <v>0</v>
      </c>
      <c r="R28" s="162">
        <v>0</v>
      </c>
      <c r="S28" s="162">
        <v>0</v>
      </c>
      <c r="T28" s="162">
        <v>0</v>
      </c>
      <c r="U28" s="162">
        <v>0</v>
      </c>
      <c r="V28" s="162">
        <f t="shared" si="4"/>
        <v>0</v>
      </c>
      <c r="X28" s="178"/>
    </row>
    <row r="29" spans="1:24" x14ac:dyDescent="0.35">
      <c r="B29" s="239" t="s">
        <v>64</v>
      </c>
      <c r="C29" s="240"/>
      <c r="D29" s="92" t="s">
        <v>659</v>
      </c>
      <c r="E29" s="162">
        <v>17</v>
      </c>
      <c r="F29" s="162">
        <v>7</v>
      </c>
      <c r="G29" s="162">
        <v>24</v>
      </c>
      <c r="H29" s="162">
        <v>10</v>
      </c>
      <c r="I29" s="162">
        <v>8</v>
      </c>
      <c r="J29" s="162">
        <f t="shared" si="1"/>
        <v>13.2</v>
      </c>
      <c r="K29" s="163">
        <f t="shared" si="2"/>
        <v>0</v>
      </c>
      <c r="L29" s="163">
        <f t="shared" si="5"/>
        <v>0</v>
      </c>
      <c r="M29" s="163">
        <f t="shared" si="6"/>
        <v>0</v>
      </c>
      <c r="N29" s="163">
        <f t="shared" si="7"/>
        <v>0</v>
      </c>
      <c r="O29" s="163">
        <f t="shared" si="8"/>
        <v>0</v>
      </c>
      <c r="P29" s="163">
        <f t="shared" si="3"/>
        <v>0</v>
      </c>
      <c r="Q29" s="162">
        <v>0</v>
      </c>
      <c r="R29" s="162">
        <v>0</v>
      </c>
      <c r="S29" s="162">
        <v>0</v>
      </c>
      <c r="T29" s="162">
        <v>0</v>
      </c>
      <c r="U29" s="162">
        <v>0</v>
      </c>
      <c r="V29" s="162">
        <f t="shared" si="4"/>
        <v>0</v>
      </c>
      <c r="X29" s="178"/>
    </row>
    <row r="30" spans="1:24" x14ac:dyDescent="0.35">
      <c r="B30" s="239" t="s">
        <v>662</v>
      </c>
      <c r="C30" s="240"/>
      <c r="D30" s="92" t="s">
        <v>659</v>
      </c>
      <c r="E30" s="162">
        <v>32</v>
      </c>
      <c r="F30" s="162">
        <v>12</v>
      </c>
      <c r="G30" s="162">
        <v>19</v>
      </c>
      <c r="H30" s="162">
        <v>17</v>
      </c>
      <c r="I30" s="162">
        <v>30</v>
      </c>
      <c r="J30" s="162">
        <f t="shared" si="1"/>
        <v>22</v>
      </c>
      <c r="K30" s="163">
        <f t="shared" si="2"/>
        <v>0</v>
      </c>
      <c r="L30" s="163">
        <f t="shared" si="5"/>
        <v>0</v>
      </c>
      <c r="M30" s="163">
        <f t="shared" si="6"/>
        <v>0</v>
      </c>
      <c r="N30" s="163">
        <f t="shared" si="7"/>
        <v>0</v>
      </c>
      <c r="O30" s="163">
        <f t="shared" si="8"/>
        <v>3.3333333333333333E-2</v>
      </c>
      <c r="P30" s="163">
        <f t="shared" si="3"/>
        <v>9.0909090909090922E-3</v>
      </c>
      <c r="Q30" s="162">
        <v>0</v>
      </c>
      <c r="R30" s="162">
        <v>0</v>
      </c>
      <c r="S30" s="162">
        <v>0</v>
      </c>
      <c r="T30" s="162">
        <v>0</v>
      </c>
      <c r="U30" s="162">
        <v>1</v>
      </c>
      <c r="V30" s="162">
        <f t="shared" si="4"/>
        <v>0.2</v>
      </c>
      <c r="X30" s="178"/>
    </row>
    <row r="31" spans="1:24" x14ac:dyDescent="0.35">
      <c r="B31" s="239" t="s">
        <v>676</v>
      </c>
      <c r="C31" s="240"/>
      <c r="D31" s="92" t="s">
        <v>659</v>
      </c>
      <c r="E31" s="162">
        <v>0</v>
      </c>
      <c r="F31" s="162">
        <v>0</v>
      </c>
      <c r="G31" s="162">
        <v>0</v>
      </c>
      <c r="H31" s="162">
        <v>0</v>
      </c>
      <c r="I31" s="162">
        <v>0</v>
      </c>
      <c r="J31" s="162">
        <f t="shared" si="1"/>
        <v>0</v>
      </c>
      <c r="K31" s="163">
        <f t="shared" si="2"/>
        <v>0</v>
      </c>
      <c r="L31" s="163">
        <f t="shared" si="5"/>
        <v>0</v>
      </c>
      <c r="M31" s="163">
        <f t="shared" si="6"/>
        <v>0</v>
      </c>
      <c r="N31" s="163">
        <f t="shared" si="7"/>
        <v>0</v>
      </c>
      <c r="O31" s="163">
        <f t="shared" si="8"/>
        <v>0</v>
      </c>
      <c r="P31" s="163">
        <f t="shared" si="3"/>
        <v>0</v>
      </c>
      <c r="Q31" s="162">
        <v>0</v>
      </c>
      <c r="R31" s="162">
        <v>0</v>
      </c>
      <c r="S31" s="162">
        <v>0</v>
      </c>
      <c r="T31" s="162">
        <v>0</v>
      </c>
      <c r="U31" s="162">
        <v>0</v>
      </c>
      <c r="V31" s="162">
        <f t="shared" si="4"/>
        <v>0</v>
      </c>
      <c r="X31" s="178"/>
    </row>
    <row r="32" spans="1:24" x14ac:dyDescent="0.35">
      <c r="B32" s="241" t="s">
        <v>677</v>
      </c>
      <c r="C32" s="241"/>
      <c r="D32" s="92" t="s">
        <v>659</v>
      </c>
      <c r="E32" s="162">
        <v>2</v>
      </c>
      <c r="F32" s="162">
        <v>0</v>
      </c>
      <c r="G32" s="162">
        <v>0</v>
      </c>
      <c r="H32" s="162">
        <v>0</v>
      </c>
      <c r="I32" s="162">
        <v>0</v>
      </c>
      <c r="J32" s="162">
        <f t="shared" si="1"/>
        <v>0.4</v>
      </c>
      <c r="K32" s="163">
        <f t="shared" si="2"/>
        <v>0</v>
      </c>
      <c r="L32" s="163">
        <f t="shared" si="5"/>
        <v>0</v>
      </c>
      <c r="M32" s="163">
        <f t="shared" si="6"/>
        <v>0</v>
      </c>
      <c r="N32" s="163">
        <f t="shared" si="7"/>
        <v>0</v>
      </c>
      <c r="O32" s="163">
        <f t="shared" si="8"/>
        <v>0</v>
      </c>
      <c r="P32" s="163">
        <f t="shared" si="3"/>
        <v>0</v>
      </c>
      <c r="Q32" s="162">
        <v>0</v>
      </c>
      <c r="R32" s="162">
        <v>0</v>
      </c>
      <c r="S32" s="162">
        <v>0</v>
      </c>
      <c r="T32" s="162">
        <v>0</v>
      </c>
      <c r="U32" s="162">
        <v>0</v>
      </c>
      <c r="V32" s="162">
        <f t="shared" si="4"/>
        <v>0</v>
      </c>
      <c r="X32" s="178"/>
    </row>
    <row r="33" spans="1:24" x14ac:dyDescent="0.35">
      <c r="B33" s="241" t="s">
        <v>678</v>
      </c>
      <c r="C33" s="241"/>
      <c r="D33" s="92" t="s">
        <v>659</v>
      </c>
      <c r="E33" s="164">
        <v>1</v>
      </c>
      <c r="F33" s="164">
        <v>0</v>
      </c>
      <c r="G33" s="164">
        <v>0</v>
      </c>
      <c r="H33" s="164">
        <v>0</v>
      </c>
      <c r="I33" s="164">
        <v>1</v>
      </c>
      <c r="J33" s="162">
        <f t="shared" si="1"/>
        <v>0.4</v>
      </c>
      <c r="K33" s="163">
        <f t="shared" si="2"/>
        <v>0</v>
      </c>
      <c r="L33" s="163">
        <f t="shared" si="5"/>
        <v>0</v>
      </c>
      <c r="M33" s="163">
        <f t="shared" si="6"/>
        <v>0</v>
      </c>
      <c r="N33" s="163">
        <f t="shared" si="7"/>
        <v>0</v>
      </c>
      <c r="O33" s="163">
        <f t="shared" si="8"/>
        <v>0</v>
      </c>
      <c r="P33" s="163">
        <f t="shared" si="3"/>
        <v>0</v>
      </c>
      <c r="Q33" s="164">
        <v>0</v>
      </c>
      <c r="R33" s="164">
        <v>0</v>
      </c>
      <c r="S33" s="164">
        <v>0</v>
      </c>
      <c r="T33" s="164">
        <v>0</v>
      </c>
      <c r="U33" s="164">
        <v>0</v>
      </c>
      <c r="V33" s="162">
        <f t="shared" si="4"/>
        <v>0</v>
      </c>
      <c r="X33" s="178"/>
    </row>
    <row r="34" spans="1:24" s="40" customFormat="1" x14ac:dyDescent="0.35">
      <c r="B34" s="160"/>
      <c r="C34" s="160"/>
      <c r="D34" s="160"/>
      <c r="E34" s="165"/>
      <c r="F34" s="165"/>
      <c r="G34" s="165"/>
      <c r="H34" s="165"/>
      <c r="I34" s="165"/>
      <c r="J34" s="165"/>
      <c r="K34" s="165"/>
      <c r="L34" s="165"/>
      <c r="M34" s="165"/>
      <c r="N34" s="165"/>
      <c r="O34" s="165"/>
      <c r="P34" s="165"/>
      <c r="Q34" s="165"/>
      <c r="R34" s="165"/>
      <c r="S34" s="165"/>
      <c r="T34" s="165"/>
      <c r="U34" s="165"/>
      <c r="V34" s="165"/>
      <c r="X34" s="178"/>
    </row>
    <row r="35" spans="1:24" s="40" customFormat="1" x14ac:dyDescent="0.35">
      <c r="B35" s="160"/>
      <c r="C35" s="160"/>
      <c r="D35" s="160"/>
      <c r="E35" s="160"/>
      <c r="F35" s="160"/>
      <c r="G35" s="160"/>
      <c r="H35" s="160"/>
      <c r="I35" s="160"/>
      <c r="J35" s="160"/>
      <c r="K35" s="160"/>
      <c r="L35" s="160"/>
      <c r="M35" s="160"/>
      <c r="N35" s="160"/>
      <c r="O35" s="160"/>
      <c r="P35" s="160"/>
      <c r="Q35" s="160"/>
      <c r="R35" s="160"/>
      <c r="S35" s="160"/>
      <c r="T35" s="160"/>
      <c r="U35" s="160"/>
      <c r="V35" s="160"/>
    </row>
    <row r="36" spans="1:24" s="40" customFormat="1" x14ac:dyDescent="0.35">
      <c r="B36" s="160"/>
      <c r="C36" s="160"/>
      <c r="D36" s="160"/>
      <c r="E36" s="160"/>
      <c r="F36" s="160"/>
      <c r="G36" s="160"/>
      <c r="H36" s="160"/>
      <c r="I36" s="160"/>
      <c r="J36" s="160"/>
      <c r="K36" s="160"/>
      <c r="L36" s="160"/>
      <c r="M36" s="160"/>
      <c r="N36" s="160"/>
      <c r="O36" s="160"/>
      <c r="P36" s="160"/>
      <c r="Q36" s="160"/>
      <c r="R36" s="160"/>
      <c r="S36" s="160"/>
      <c r="T36" s="160"/>
      <c r="U36" s="160"/>
      <c r="V36" s="160"/>
    </row>
    <row r="37" spans="1:24" s="40" customFormat="1" x14ac:dyDescent="0.35">
      <c r="B37" s="160"/>
      <c r="C37" s="160"/>
      <c r="D37" s="160"/>
      <c r="E37" s="160"/>
      <c r="F37" s="160"/>
      <c r="G37" s="160"/>
      <c r="H37" s="160"/>
      <c r="I37" s="160"/>
      <c r="J37" s="160"/>
      <c r="K37" s="160"/>
      <c r="L37" s="160"/>
      <c r="M37" s="160"/>
      <c r="N37" s="160"/>
      <c r="O37" s="160"/>
      <c r="P37" s="160"/>
      <c r="Q37" s="160"/>
      <c r="R37" s="160"/>
      <c r="S37" s="160"/>
      <c r="T37" s="160"/>
      <c r="U37" s="160"/>
      <c r="V37" s="160"/>
    </row>
    <row r="38" spans="1:24" s="169" customFormat="1" ht="21" x14ac:dyDescent="0.5">
      <c r="A38" s="169" t="s">
        <v>0</v>
      </c>
      <c r="B38" s="170">
        <v>3.2</v>
      </c>
      <c r="C38" s="169" t="s">
        <v>88</v>
      </c>
      <c r="D38" s="174"/>
      <c r="E38" s="174"/>
      <c r="F38" s="174"/>
      <c r="G38" s="174"/>
      <c r="H38" s="174"/>
      <c r="I38" s="174"/>
      <c r="J38" s="174"/>
      <c r="K38" s="174"/>
      <c r="L38" s="174"/>
      <c r="M38" s="174"/>
      <c r="N38" s="174"/>
      <c r="O38" s="174"/>
      <c r="P38" s="174"/>
      <c r="Q38" s="174"/>
      <c r="R38" s="174"/>
      <c r="S38" s="174"/>
      <c r="T38" s="174"/>
      <c r="U38" s="174"/>
      <c r="V38" s="174"/>
    </row>
    <row r="39" spans="1:24" s="169" customFormat="1" ht="21" x14ac:dyDescent="0.5">
      <c r="A39" s="169" t="s">
        <v>76</v>
      </c>
      <c r="B39" s="170" t="s">
        <v>558</v>
      </c>
      <c r="C39" s="169" t="s">
        <v>559</v>
      </c>
      <c r="D39" s="174"/>
      <c r="E39" s="174"/>
      <c r="F39" s="174"/>
      <c r="G39" s="174"/>
      <c r="H39" s="174"/>
      <c r="I39" s="174"/>
      <c r="J39" s="174"/>
      <c r="K39" s="174"/>
      <c r="L39" s="174"/>
      <c r="M39" s="174"/>
      <c r="N39" s="174"/>
      <c r="O39" s="174"/>
      <c r="P39" s="174"/>
      <c r="Q39" s="174"/>
      <c r="R39" s="174"/>
      <c r="S39" s="174"/>
      <c r="T39" s="174"/>
      <c r="U39" s="174"/>
      <c r="V39" s="174"/>
    </row>
    <row r="40" spans="1:24" s="40" customFormat="1" x14ac:dyDescent="0.35">
      <c r="A40" s="159" t="s">
        <v>660</v>
      </c>
      <c r="B40" s="43"/>
      <c r="C40" s="160"/>
      <c r="D40" s="161"/>
      <c r="E40" s="161"/>
      <c r="F40" s="161"/>
      <c r="G40" s="161"/>
      <c r="H40" s="161"/>
      <c r="I40" s="161"/>
      <c r="J40" s="161"/>
      <c r="K40" s="161"/>
      <c r="L40" s="161"/>
      <c r="M40" s="161"/>
      <c r="N40" s="161"/>
      <c r="O40" s="161"/>
      <c r="P40" s="161"/>
      <c r="Q40" s="161"/>
      <c r="R40" s="161"/>
      <c r="S40" s="161"/>
      <c r="T40" s="161"/>
      <c r="U40" s="161"/>
      <c r="V40" s="161"/>
    </row>
    <row r="41" spans="1:24" s="40" customFormat="1" x14ac:dyDescent="0.35">
      <c r="A41" s="159" t="s">
        <v>679</v>
      </c>
      <c r="B41" s="43"/>
      <c r="C41" s="160"/>
      <c r="D41" s="161"/>
      <c r="E41" s="161"/>
      <c r="F41" s="161"/>
      <c r="G41" s="161"/>
      <c r="H41" s="161"/>
      <c r="I41" s="161"/>
      <c r="J41" s="161"/>
      <c r="K41" s="161"/>
      <c r="L41" s="161"/>
      <c r="M41" s="161"/>
      <c r="N41" s="161"/>
      <c r="O41" s="161"/>
      <c r="P41" s="161"/>
      <c r="Q41" s="161"/>
      <c r="R41" s="161"/>
      <c r="S41" s="161"/>
      <c r="T41" s="161"/>
      <c r="U41" s="161"/>
      <c r="V41" s="161"/>
    </row>
    <row r="42" spans="1:24" s="40" customFormat="1" x14ac:dyDescent="0.35">
      <c r="A42" s="47"/>
      <c r="B42" s="161"/>
      <c r="C42" s="161"/>
      <c r="D42" s="161"/>
      <c r="E42" s="161"/>
      <c r="F42" s="161"/>
      <c r="G42" s="161"/>
      <c r="H42" s="161"/>
      <c r="I42" s="161"/>
      <c r="J42" s="161"/>
      <c r="K42" s="161"/>
      <c r="L42" s="161"/>
      <c r="M42" s="161"/>
      <c r="N42" s="161"/>
      <c r="O42" s="161"/>
      <c r="P42" s="161"/>
      <c r="Q42" s="161"/>
      <c r="R42" s="161"/>
      <c r="S42" s="161"/>
      <c r="T42" s="161"/>
      <c r="U42" s="161"/>
      <c r="V42" s="161"/>
    </row>
    <row r="43" spans="1:24" ht="27" customHeight="1" x14ac:dyDescent="0.35">
      <c r="A43" s="47"/>
      <c r="B43" s="248" t="s">
        <v>254</v>
      </c>
      <c r="C43" s="249"/>
      <c r="D43" s="252" t="s">
        <v>255</v>
      </c>
      <c r="E43" s="245" t="s">
        <v>256</v>
      </c>
      <c r="F43" s="246"/>
      <c r="G43" s="246"/>
      <c r="H43" s="246"/>
      <c r="I43" s="246"/>
      <c r="J43" s="247"/>
      <c r="K43" s="245" t="s">
        <v>257</v>
      </c>
      <c r="L43" s="246"/>
      <c r="M43" s="246"/>
      <c r="N43" s="246"/>
      <c r="O43" s="246"/>
      <c r="P43" s="247"/>
      <c r="Q43" s="245" t="s">
        <v>258</v>
      </c>
      <c r="R43" s="246"/>
      <c r="S43" s="246"/>
      <c r="T43" s="246"/>
      <c r="U43" s="246"/>
      <c r="V43" s="247"/>
    </row>
    <row r="44" spans="1:24" ht="33" x14ac:dyDescent="0.35">
      <c r="A44" s="47"/>
      <c r="B44" s="250"/>
      <c r="C44" s="251"/>
      <c r="D44" s="253"/>
      <c r="E44" s="93">
        <v>2015</v>
      </c>
      <c r="F44" s="93">
        <v>2016</v>
      </c>
      <c r="G44" s="93">
        <v>2017</v>
      </c>
      <c r="H44" s="93">
        <v>2018</v>
      </c>
      <c r="I44" s="93">
        <v>2019</v>
      </c>
      <c r="J44" s="93" t="s">
        <v>259</v>
      </c>
      <c r="K44" s="93">
        <v>2015</v>
      </c>
      <c r="L44" s="93">
        <v>2016</v>
      </c>
      <c r="M44" s="93">
        <v>2017</v>
      </c>
      <c r="N44" s="93">
        <v>2018</v>
      </c>
      <c r="O44" s="93">
        <v>2019</v>
      </c>
      <c r="P44" s="93" t="s">
        <v>259</v>
      </c>
      <c r="Q44" s="93">
        <v>2015</v>
      </c>
      <c r="R44" s="93">
        <v>2016</v>
      </c>
      <c r="S44" s="93">
        <v>2017</v>
      </c>
      <c r="T44" s="93">
        <v>2018</v>
      </c>
      <c r="U44" s="93">
        <v>2019</v>
      </c>
      <c r="V44" s="93" t="s">
        <v>259</v>
      </c>
    </row>
    <row r="45" spans="1:24" x14ac:dyDescent="0.35">
      <c r="A45" s="47"/>
      <c r="B45" s="242" t="s">
        <v>102</v>
      </c>
      <c r="C45" s="94" t="s">
        <v>103</v>
      </c>
      <c r="D45" s="92" t="s">
        <v>659</v>
      </c>
      <c r="E45" s="162">
        <v>55</v>
      </c>
      <c r="F45" s="162">
        <v>32</v>
      </c>
      <c r="G45" s="162">
        <v>34</v>
      </c>
      <c r="H45" s="162">
        <v>42</v>
      </c>
      <c r="I45" s="162">
        <v>53</v>
      </c>
      <c r="J45" s="162">
        <f>AVERAGE(E45:I45)</f>
        <v>43.2</v>
      </c>
      <c r="K45" s="163">
        <f>IF(E45=0,0,Q45/E45)</f>
        <v>1.8181818181818181E-2</v>
      </c>
      <c r="L45" s="163">
        <f t="shared" ref="L45:O60" si="9">IF(F45=0,0,R45/F45)</f>
        <v>0</v>
      </c>
      <c r="M45" s="163">
        <f t="shared" si="9"/>
        <v>0</v>
      </c>
      <c r="N45" s="163">
        <f t="shared" si="9"/>
        <v>2.3809523809523808E-2</v>
      </c>
      <c r="O45" s="163">
        <f t="shared" si="9"/>
        <v>1.8867924528301886E-2</v>
      </c>
      <c r="P45" s="176">
        <f>IF(SUM(Q45:U45)=0,0,SUM(Q45:U45)/SUM(E45:I45))</f>
        <v>1.3888888888888888E-2</v>
      </c>
      <c r="Q45" s="162">
        <v>1</v>
      </c>
      <c r="R45" s="162">
        <v>0</v>
      </c>
      <c r="S45" s="162">
        <v>0</v>
      </c>
      <c r="T45" s="162">
        <v>1</v>
      </c>
      <c r="U45" s="162">
        <v>1</v>
      </c>
      <c r="V45" s="162">
        <f>AVERAGE(Q45:U45)</f>
        <v>0.6</v>
      </c>
    </row>
    <row r="46" spans="1:24" x14ac:dyDescent="0.35">
      <c r="A46" s="47"/>
      <c r="B46" s="243"/>
      <c r="C46" s="94" t="s">
        <v>104</v>
      </c>
      <c r="D46" s="92" t="s">
        <v>659</v>
      </c>
      <c r="E46" s="162">
        <v>2</v>
      </c>
      <c r="F46" s="162">
        <v>0</v>
      </c>
      <c r="G46" s="162">
        <v>0</v>
      </c>
      <c r="H46" s="162">
        <v>1</v>
      </c>
      <c r="I46" s="162">
        <v>0</v>
      </c>
      <c r="J46" s="162">
        <f t="shared" ref="J46:J69" si="10">AVERAGE(E46:I46)</f>
        <v>0.6</v>
      </c>
      <c r="K46" s="163">
        <f t="shared" ref="K46:K69" si="11">IF(E46=0,0,Q46/E46)</f>
        <v>0</v>
      </c>
      <c r="L46" s="163">
        <f t="shared" si="9"/>
        <v>0</v>
      </c>
      <c r="M46" s="163">
        <f t="shared" si="9"/>
        <v>0</v>
      </c>
      <c r="N46" s="163">
        <f t="shared" si="9"/>
        <v>0</v>
      </c>
      <c r="O46" s="163">
        <f t="shared" si="9"/>
        <v>0</v>
      </c>
      <c r="P46" s="176">
        <f t="shared" ref="P46:P69" si="12">IF(SUM(Q46:U46)=0,0,SUM(Q46:U46)/SUM(E46:I46))</f>
        <v>0</v>
      </c>
      <c r="Q46" s="162">
        <v>0</v>
      </c>
      <c r="R46" s="162">
        <v>0</v>
      </c>
      <c r="S46" s="162">
        <v>0</v>
      </c>
      <c r="T46" s="162">
        <v>0</v>
      </c>
      <c r="U46" s="162">
        <v>0</v>
      </c>
      <c r="V46" s="162">
        <f t="shared" ref="V46:V69" si="13">AVERAGE(Q46:U46)</f>
        <v>0</v>
      </c>
    </row>
    <row r="47" spans="1:24" x14ac:dyDescent="0.35">
      <c r="A47" s="47"/>
      <c r="B47" s="243"/>
      <c r="C47" s="95" t="s">
        <v>64</v>
      </c>
      <c r="D47" s="92" t="s">
        <v>659</v>
      </c>
      <c r="E47" s="162">
        <v>88</v>
      </c>
      <c r="F47" s="162">
        <v>23</v>
      </c>
      <c r="G47" s="162">
        <v>32</v>
      </c>
      <c r="H47" s="162">
        <v>34</v>
      </c>
      <c r="I47" s="162">
        <v>37</v>
      </c>
      <c r="J47" s="162">
        <f t="shared" si="10"/>
        <v>42.8</v>
      </c>
      <c r="K47" s="163">
        <f t="shared" si="11"/>
        <v>0</v>
      </c>
      <c r="L47" s="163">
        <f t="shared" si="9"/>
        <v>0</v>
      </c>
      <c r="M47" s="163">
        <f t="shared" si="9"/>
        <v>0</v>
      </c>
      <c r="N47" s="163">
        <f t="shared" si="9"/>
        <v>0</v>
      </c>
      <c r="O47" s="163">
        <f t="shared" si="9"/>
        <v>0</v>
      </c>
      <c r="P47" s="176">
        <f t="shared" si="12"/>
        <v>0</v>
      </c>
      <c r="Q47" s="162">
        <v>0</v>
      </c>
      <c r="R47" s="162">
        <v>0</v>
      </c>
      <c r="S47" s="162">
        <v>0</v>
      </c>
      <c r="T47" s="162">
        <v>0</v>
      </c>
      <c r="U47" s="162">
        <v>0</v>
      </c>
      <c r="V47" s="162">
        <f t="shared" si="13"/>
        <v>0</v>
      </c>
    </row>
    <row r="48" spans="1:24" x14ac:dyDescent="0.35">
      <c r="A48" s="47"/>
      <c r="B48" s="243"/>
      <c r="C48" s="95" t="s">
        <v>662</v>
      </c>
      <c r="D48" s="92" t="s">
        <v>659</v>
      </c>
      <c r="E48" s="162">
        <v>0</v>
      </c>
      <c r="F48" s="162">
        <v>4</v>
      </c>
      <c r="G48" s="162">
        <v>5</v>
      </c>
      <c r="H48" s="162">
        <v>4</v>
      </c>
      <c r="I48" s="162">
        <v>1</v>
      </c>
      <c r="J48" s="162">
        <f t="shared" si="10"/>
        <v>2.8</v>
      </c>
      <c r="K48" s="163">
        <f t="shared" si="11"/>
        <v>0</v>
      </c>
      <c r="L48" s="163">
        <f t="shared" si="9"/>
        <v>0</v>
      </c>
      <c r="M48" s="163">
        <f t="shared" si="9"/>
        <v>0</v>
      </c>
      <c r="N48" s="163">
        <f t="shared" si="9"/>
        <v>0</v>
      </c>
      <c r="O48" s="163">
        <f t="shared" si="9"/>
        <v>0</v>
      </c>
      <c r="P48" s="176">
        <f t="shared" si="12"/>
        <v>0</v>
      </c>
      <c r="Q48" s="162">
        <v>0</v>
      </c>
      <c r="R48" s="162">
        <v>0</v>
      </c>
      <c r="S48" s="162">
        <v>0</v>
      </c>
      <c r="T48" s="162">
        <v>0</v>
      </c>
      <c r="U48" s="162">
        <v>0</v>
      </c>
      <c r="V48" s="162">
        <f t="shared" si="13"/>
        <v>0</v>
      </c>
    </row>
    <row r="49" spans="1:22" x14ac:dyDescent="0.35">
      <c r="A49" s="47"/>
      <c r="B49" s="243"/>
      <c r="C49" s="94" t="s">
        <v>260</v>
      </c>
      <c r="D49" s="92" t="s">
        <v>659</v>
      </c>
      <c r="E49" s="162">
        <v>127</v>
      </c>
      <c r="F49" s="162">
        <v>118</v>
      </c>
      <c r="G49" s="162">
        <v>159</v>
      </c>
      <c r="H49" s="162">
        <v>79</v>
      </c>
      <c r="I49" s="162">
        <v>174</v>
      </c>
      <c r="J49" s="162">
        <f t="shared" si="10"/>
        <v>131.4</v>
      </c>
      <c r="K49" s="163">
        <f t="shared" si="11"/>
        <v>0</v>
      </c>
      <c r="L49" s="163">
        <f t="shared" si="9"/>
        <v>8.4745762711864406E-3</v>
      </c>
      <c r="M49" s="163">
        <f t="shared" si="9"/>
        <v>6.2893081761006293E-3</v>
      </c>
      <c r="N49" s="163">
        <f t="shared" si="9"/>
        <v>2.5316455696202531E-2</v>
      </c>
      <c r="O49" s="163">
        <f t="shared" si="9"/>
        <v>1.1494252873563218E-2</v>
      </c>
      <c r="P49" s="176">
        <f t="shared" si="12"/>
        <v>9.1324200913242004E-3</v>
      </c>
      <c r="Q49" s="162">
        <v>0</v>
      </c>
      <c r="R49" s="162">
        <v>1</v>
      </c>
      <c r="S49" s="162">
        <v>1</v>
      </c>
      <c r="T49" s="162">
        <v>2</v>
      </c>
      <c r="U49" s="162">
        <v>2</v>
      </c>
      <c r="V49" s="162">
        <f t="shared" si="13"/>
        <v>1.2</v>
      </c>
    </row>
    <row r="50" spans="1:22" x14ac:dyDescent="0.35">
      <c r="A50" s="47"/>
      <c r="B50" s="244"/>
      <c r="C50" s="94" t="s">
        <v>105</v>
      </c>
      <c r="D50" s="92" t="s">
        <v>659</v>
      </c>
      <c r="E50" s="162">
        <v>15</v>
      </c>
      <c r="F50" s="162">
        <v>9</v>
      </c>
      <c r="G50" s="162">
        <v>11</v>
      </c>
      <c r="H50" s="162">
        <v>18</v>
      </c>
      <c r="I50" s="162">
        <v>9</v>
      </c>
      <c r="J50" s="162">
        <f t="shared" si="10"/>
        <v>12.4</v>
      </c>
      <c r="K50" s="163">
        <f t="shared" si="11"/>
        <v>0</v>
      </c>
      <c r="L50" s="163">
        <f t="shared" si="9"/>
        <v>0</v>
      </c>
      <c r="M50" s="163">
        <f t="shared" si="9"/>
        <v>0</v>
      </c>
      <c r="N50" s="163">
        <f t="shared" si="9"/>
        <v>5.5555555555555552E-2</v>
      </c>
      <c r="O50" s="163">
        <f t="shared" si="9"/>
        <v>0</v>
      </c>
      <c r="P50" s="176">
        <f t="shared" si="12"/>
        <v>1.6129032258064516E-2</v>
      </c>
      <c r="Q50" s="162">
        <v>0</v>
      </c>
      <c r="R50" s="162">
        <v>0</v>
      </c>
      <c r="S50" s="162">
        <v>0</v>
      </c>
      <c r="T50" s="162">
        <v>1</v>
      </c>
      <c r="U50" s="162">
        <v>0</v>
      </c>
      <c r="V50" s="162">
        <f t="shared" si="13"/>
        <v>0.2</v>
      </c>
    </row>
    <row r="51" spans="1:22" x14ac:dyDescent="0.35">
      <c r="A51" s="47"/>
      <c r="B51" s="239" t="s">
        <v>663</v>
      </c>
      <c r="C51" s="240"/>
      <c r="D51" s="92" t="s">
        <v>659</v>
      </c>
      <c r="E51" s="162">
        <v>4</v>
      </c>
      <c r="F51" s="162">
        <v>2</v>
      </c>
      <c r="G51" s="162">
        <v>5</v>
      </c>
      <c r="H51" s="162">
        <v>6</v>
      </c>
      <c r="I51" s="162">
        <v>2</v>
      </c>
      <c r="J51" s="162">
        <f t="shared" si="10"/>
        <v>3.8</v>
      </c>
      <c r="K51" s="163">
        <f t="shared" si="11"/>
        <v>0</v>
      </c>
      <c r="L51" s="163">
        <f t="shared" si="9"/>
        <v>0</v>
      </c>
      <c r="M51" s="163">
        <f t="shared" si="9"/>
        <v>0</v>
      </c>
      <c r="N51" s="163">
        <f t="shared" si="9"/>
        <v>0</v>
      </c>
      <c r="O51" s="163">
        <f t="shared" si="9"/>
        <v>0</v>
      </c>
      <c r="P51" s="176">
        <f t="shared" si="12"/>
        <v>0</v>
      </c>
      <c r="Q51" s="162">
        <v>0</v>
      </c>
      <c r="R51" s="162">
        <v>0</v>
      </c>
      <c r="S51" s="162">
        <v>0</v>
      </c>
      <c r="T51" s="162">
        <v>0</v>
      </c>
      <c r="U51" s="162">
        <v>0</v>
      </c>
      <c r="V51" s="162">
        <f t="shared" si="13"/>
        <v>0</v>
      </c>
    </row>
    <row r="52" spans="1:22" x14ac:dyDescent="0.35">
      <c r="A52" s="47"/>
      <c r="B52" s="242" t="s">
        <v>261</v>
      </c>
      <c r="C52" s="94" t="s">
        <v>664</v>
      </c>
      <c r="D52" s="92" t="s">
        <v>659</v>
      </c>
      <c r="E52" s="162">
        <v>43</v>
      </c>
      <c r="F52" s="162">
        <v>29</v>
      </c>
      <c r="G52" s="162">
        <v>39</v>
      </c>
      <c r="H52" s="162">
        <v>25</v>
      </c>
      <c r="I52" s="162">
        <v>27</v>
      </c>
      <c r="J52" s="162">
        <f t="shared" si="10"/>
        <v>32.6</v>
      </c>
      <c r="K52" s="163">
        <f t="shared" si="11"/>
        <v>2.3255813953488372E-2</v>
      </c>
      <c r="L52" s="163">
        <f t="shared" si="9"/>
        <v>0</v>
      </c>
      <c r="M52" s="163">
        <f t="shared" si="9"/>
        <v>2.564102564102564E-2</v>
      </c>
      <c r="N52" s="163">
        <f t="shared" si="9"/>
        <v>0</v>
      </c>
      <c r="O52" s="163">
        <f t="shared" si="9"/>
        <v>3.7037037037037035E-2</v>
      </c>
      <c r="P52" s="176">
        <f t="shared" si="12"/>
        <v>1.8404907975460124E-2</v>
      </c>
      <c r="Q52" s="162">
        <v>1</v>
      </c>
      <c r="R52" s="162">
        <v>0</v>
      </c>
      <c r="S52" s="162">
        <v>1</v>
      </c>
      <c r="T52" s="162">
        <v>0</v>
      </c>
      <c r="U52" s="162">
        <v>1</v>
      </c>
      <c r="V52" s="162">
        <f t="shared" si="13"/>
        <v>0.6</v>
      </c>
    </row>
    <row r="53" spans="1:22" x14ac:dyDescent="0.35">
      <c r="A53" s="47"/>
      <c r="B53" s="243"/>
      <c r="C53" s="94" t="s">
        <v>665</v>
      </c>
      <c r="D53" s="92" t="s">
        <v>659</v>
      </c>
      <c r="E53" s="162">
        <v>5</v>
      </c>
      <c r="F53" s="162">
        <v>4</v>
      </c>
      <c r="G53" s="162">
        <v>3</v>
      </c>
      <c r="H53" s="162">
        <v>2</v>
      </c>
      <c r="I53" s="162">
        <v>7</v>
      </c>
      <c r="J53" s="162">
        <f t="shared" si="10"/>
        <v>4.2</v>
      </c>
      <c r="K53" s="163">
        <f t="shared" si="11"/>
        <v>0</v>
      </c>
      <c r="L53" s="163">
        <f t="shared" si="9"/>
        <v>0</v>
      </c>
      <c r="M53" s="163">
        <f t="shared" si="9"/>
        <v>0</v>
      </c>
      <c r="N53" s="163">
        <f t="shared" si="9"/>
        <v>0</v>
      </c>
      <c r="O53" s="163">
        <f t="shared" si="9"/>
        <v>0.14285714285714285</v>
      </c>
      <c r="P53" s="176">
        <f t="shared" si="12"/>
        <v>4.7619047619047616E-2</v>
      </c>
      <c r="Q53" s="162">
        <v>0</v>
      </c>
      <c r="R53" s="162">
        <v>0</v>
      </c>
      <c r="S53" s="162">
        <v>0</v>
      </c>
      <c r="T53" s="162">
        <v>0</v>
      </c>
      <c r="U53" s="162">
        <v>1</v>
      </c>
      <c r="V53" s="162">
        <f t="shared" si="13"/>
        <v>0.2</v>
      </c>
    </row>
    <row r="54" spans="1:22" x14ac:dyDescent="0.35">
      <c r="A54" s="47"/>
      <c r="B54" s="243"/>
      <c r="C54" s="94" t="s">
        <v>666</v>
      </c>
      <c r="D54" s="92" t="s">
        <v>659</v>
      </c>
      <c r="E54" s="162">
        <v>122</v>
      </c>
      <c r="F54" s="162">
        <v>130</v>
      </c>
      <c r="G54" s="162">
        <v>156</v>
      </c>
      <c r="H54" s="162">
        <v>127</v>
      </c>
      <c r="I54" s="162">
        <v>118</v>
      </c>
      <c r="J54" s="162">
        <f t="shared" si="10"/>
        <v>130.6</v>
      </c>
      <c r="K54" s="163">
        <f t="shared" si="11"/>
        <v>0</v>
      </c>
      <c r="L54" s="163">
        <f t="shared" si="9"/>
        <v>0</v>
      </c>
      <c r="M54" s="163">
        <f t="shared" si="9"/>
        <v>6.41025641025641E-3</v>
      </c>
      <c r="N54" s="163">
        <f t="shared" si="9"/>
        <v>0</v>
      </c>
      <c r="O54" s="163">
        <f t="shared" si="9"/>
        <v>8.4745762711864406E-3</v>
      </c>
      <c r="P54" s="176">
        <f t="shared" si="12"/>
        <v>3.0627871362940277E-3</v>
      </c>
      <c r="Q54" s="162">
        <v>0</v>
      </c>
      <c r="R54" s="162">
        <v>0</v>
      </c>
      <c r="S54" s="162">
        <v>1</v>
      </c>
      <c r="T54" s="162">
        <v>0</v>
      </c>
      <c r="U54" s="162">
        <v>1</v>
      </c>
      <c r="V54" s="162">
        <f t="shared" si="13"/>
        <v>0.4</v>
      </c>
    </row>
    <row r="55" spans="1:22" x14ac:dyDescent="0.35">
      <c r="A55" s="47"/>
      <c r="B55" s="243"/>
      <c r="C55" s="94" t="s">
        <v>667</v>
      </c>
      <c r="D55" s="92" t="s">
        <v>659</v>
      </c>
      <c r="E55" s="162">
        <v>3</v>
      </c>
      <c r="F55" s="162">
        <v>5</v>
      </c>
      <c r="G55" s="162">
        <v>2</v>
      </c>
      <c r="H55" s="162">
        <v>5</v>
      </c>
      <c r="I55" s="162">
        <v>6</v>
      </c>
      <c r="J55" s="162">
        <f t="shared" si="10"/>
        <v>4.2</v>
      </c>
      <c r="K55" s="163">
        <f t="shared" si="11"/>
        <v>0</v>
      </c>
      <c r="L55" s="163">
        <f t="shared" si="9"/>
        <v>0</v>
      </c>
      <c r="M55" s="163">
        <f t="shared" si="9"/>
        <v>0</v>
      </c>
      <c r="N55" s="163">
        <f t="shared" si="9"/>
        <v>0</v>
      </c>
      <c r="O55" s="163">
        <f t="shared" si="9"/>
        <v>0</v>
      </c>
      <c r="P55" s="176">
        <f t="shared" si="12"/>
        <v>0</v>
      </c>
      <c r="Q55" s="162">
        <v>0</v>
      </c>
      <c r="R55" s="162">
        <v>0</v>
      </c>
      <c r="S55" s="162">
        <v>0</v>
      </c>
      <c r="T55" s="162">
        <v>0</v>
      </c>
      <c r="U55" s="162">
        <v>0</v>
      </c>
      <c r="V55" s="162">
        <f t="shared" si="13"/>
        <v>0</v>
      </c>
    </row>
    <row r="56" spans="1:22" x14ac:dyDescent="0.35">
      <c r="A56" s="47"/>
      <c r="B56" s="243"/>
      <c r="C56" s="94" t="s">
        <v>668</v>
      </c>
      <c r="D56" s="92" t="s">
        <v>659</v>
      </c>
      <c r="E56" s="162">
        <v>10</v>
      </c>
      <c r="F56" s="162">
        <v>12</v>
      </c>
      <c r="G56" s="162">
        <v>13</v>
      </c>
      <c r="H56" s="162">
        <v>14</v>
      </c>
      <c r="I56" s="162">
        <v>8</v>
      </c>
      <c r="J56" s="162">
        <f t="shared" si="10"/>
        <v>11.4</v>
      </c>
      <c r="K56" s="163">
        <f t="shared" si="11"/>
        <v>0</v>
      </c>
      <c r="L56" s="163">
        <f t="shared" si="9"/>
        <v>0</v>
      </c>
      <c r="M56" s="163">
        <f t="shared" si="9"/>
        <v>0</v>
      </c>
      <c r="N56" s="163">
        <f t="shared" si="9"/>
        <v>0</v>
      </c>
      <c r="O56" s="163">
        <f t="shared" si="9"/>
        <v>0</v>
      </c>
      <c r="P56" s="176">
        <f t="shared" si="12"/>
        <v>0</v>
      </c>
      <c r="Q56" s="162">
        <v>0</v>
      </c>
      <c r="R56" s="162">
        <v>0</v>
      </c>
      <c r="S56" s="162">
        <v>0</v>
      </c>
      <c r="T56" s="162">
        <v>0</v>
      </c>
      <c r="U56" s="162">
        <v>0</v>
      </c>
      <c r="V56" s="162">
        <f t="shared" si="13"/>
        <v>0</v>
      </c>
    </row>
    <row r="57" spans="1:22" x14ac:dyDescent="0.35">
      <c r="A57" s="47"/>
      <c r="B57" s="243"/>
      <c r="C57" s="94" t="s">
        <v>64</v>
      </c>
      <c r="D57" s="92" t="s">
        <v>659</v>
      </c>
      <c r="E57" s="162">
        <v>13</v>
      </c>
      <c r="F57" s="162">
        <v>10</v>
      </c>
      <c r="G57" s="162">
        <v>19</v>
      </c>
      <c r="H57" s="162">
        <v>35</v>
      </c>
      <c r="I57" s="162">
        <v>32</v>
      </c>
      <c r="J57" s="162">
        <f t="shared" si="10"/>
        <v>21.8</v>
      </c>
      <c r="K57" s="163">
        <f t="shared" si="11"/>
        <v>0</v>
      </c>
      <c r="L57" s="163">
        <f t="shared" si="9"/>
        <v>0</v>
      </c>
      <c r="M57" s="163">
        <f t="shared" si="9"/>
        <v>0</v>
      </c>
      <c r="N57" s="163">
        <f t="shared" si="9"/>
        <v>0</v>
      </c>
      <c r="O57" s="163">
        <f t="shared" si="9"/>
        <v>0</v>
      </c>
      <c r="P57" s="176">
        <f t="shared" si="12"/>
        <v>0</v>
      </c>
      <c r="Q57" s="162">
        <v>0</v>
      </c>
      <c r="R57" s="162">
        <v>0</v>
      </c>
      <c r="S57" s="162">
        <v>0</v>
      </c>
      <c r="T57" s="162">
        <v>0</v>
      </c>
      <c r="U57" s="162">
        <v>0</v>
      </c>
      <c r="V57" s="162">
        <f t="shared" si="13"/>
        <v>0</v>
      </c>
    </row>
    <row r="58" spans="1:22" x14ac:dyDescent="0.35">
      <c r="A58" s="47"/>
      <c r="B58" s="243"/>
      <c r="C58" s="94" t="s">
        <v>669</v>
      </c>
      <c r="D58" s="92" t="s">
        <v>659</v>
      </c>
      <c r="E58" s="162">
        <v>4</v>
      </c>
      <c r="F58" s="162">
        <v>5</v>
      </c>
      <c r="G58" s="162">
        <v>8</v>
      </c>
      <c r="H58" s="162">
        <v>3</v>
      </c>
      <c r="I58" s="162">
        <v>9</v>
      </c>
      <c r="J58" s="162">
        <f t="shared" si="10"/>
        <v>5.8</v>
      </c>
      <c r="K58" s="163">
        <f t="shared" si="11"/>
        <v>0</v>
      </c>
      <c r="L58" s="163">
        <f t="shared" si="9"/>
        <v>0</v>
      </c>
      <c r="M58" s="163">
        <f t="shared" si="9"/>
        <v>0</v>
      </c>
      <c r="N58" s="163">
        <f t="shared" si="9"/>
        <v>0</v>
      </c>
      <c r="O58" s="163">
        <f t="shared" si="9"/>
        <v>0</v>
      </c>
      <c r="P58" s="176">
        <f t="shared" si="12"/>
        <v>0</v>
      </c>
      <c r="Q58" s="162">
        <v>0</v>
      </c>
      <c r="R58" s="162">
        <v>0</v>
      </c>
      <c r="S58" s="162">
        <v>0</v>
      </c>
      <c r="T58" s="162">
        <v>0</v>
      </c>
      <c r="U58" s="162">
        <v>0</v>
      </c>
      <c r="V58" s="162">
        <f t="shared" si="13"/>
        <v>0</v>
      </c>
    </row>
    <row r="59" spans="1:22" x14ac:dyDescent="0.35">
      <c r="A59" s="47"/>
      <c r="B59" s="243"/>
      <c r="C59" s="94" t="s">
        <v>670</v>
      </c>
      <c r="D59" s="92" t="s">
        <v>659</v>
      </c>
      <c r="E59" s="162">
        <v>0</v>
      </c>
      <c r="F59" s="162">
        <v>1</v>
      </c>
      <c r="G59" s="162">
        <v>0</v>
      </c>
      <c r="H59" s="162">
        <v>0</v>
      </c>
      <c r="I59" s="162">
        <v>0</v>
      </c>
      <c r="J59" s="162">
        <f t="shared" si="10"/>
        <v>0.2</v>
      </c>
      <c r="K59" s="163">
        <f t="shared" si="11"/>
        <v>0</v>
      </c>
      <c r="L59" s="163">
        <f t="shared" si="9"/>
        <v>0</v>
      </c>
      <c r="M59" s="163">
        <f t="shared" si="9"/>
        <v>0</v>
      </c>
      <c r="N59" s="163">
        <f t="shared" si="9"/>
        <v>0</v>
      </c>
      <c r="O59" s="163">
        <f t="shared" si="9"/>
        <v>0</v>
      </c>
      <c r="P59" s="176">
        <f t="shared" si="12"/>
        <v>0</v>
      </c>
      <c r="Q59" s="162">
        <v>0</v>
      </c>
      <c r="R59" s="162">
        <v>0</v>
      </c>
      <c r="S59" s="162">
        <v>0</v>
      </c>
      <c r="T59" s="162">
        <v>0</v>
      </c>
      <c r="U59" s="162">
        <v>0</v>
      </c>
      <c r="V59" s="162">
        <f t="shared" si="13"/>
        <v>0</v>
      </c>
    </row>
    <row r="60" spans="1:22" x14ac:dyDescent="0.35">
      <c r="A60" s="47"/>
      <c r="B60" s="243"/>
      <c r="C60" s="94" t="s">
        <v>671</v>
      </c>
      <c r="D60" s="92" t="s">
        <v>659</v>
      </c>
      <c r="E60" s="162">
        <v>137</v>
      </c>
      <c r="F60" s="162">
        <v>60</v>
      </c>
      <c r="G60" s="162">
        <v>100</v>
      </c>
      <c r="H60" s="162">
        <v>41</v>
      </c>
      <c r="I60" s="162">
        <v>71</v>
      </c>
      <c r="J60" s="162">
        <f t="shared" si="10"/>
        <v>81.8</v>
      </c>
      <c r="K60" s="163">
        <f t="shared" si="11"/>
        <v>0</v>
      </c>
      <c r="L60" s="163">
        <f t="shared" si="9"/>
        <v>1.6666666666666666E-2</v>
      </c>
      <c r="M60" s="163">
        <f t="shared" si="9"/>
        <v>0</v>
      </c>
      <c r="N60" s="163">
        <f t="shared" si="9"/>
        <v>0</v>
      </c>
      <c r="O60" s="163">
        <f t="shared" si="9"/>
        <v>0</v>
      </c>
      <c r="P60" s="176">
        <f t="shared" si="12"/>
        <v>2.4449877750611247E-3</v>
      </c>
      <c r="Q60" s="162">
        <v>0</v>
      </c>
      <c r="R60" s="162">
        <v>1</v>
      </c>
      <c r="S60" s="162">
        <v>0</v>
      </c>
      <c r="T60" s="162">
        <v>0</v>
      </c>
      <c r="U60" s="162">
        <v>0</v>
      </c>
      <c r="V60" s="162">
        <f t="shared" si="13"/>
        <v>0.2</v>
      </c>
    </row>
    <row r="61" spans="1:22" x14ac:dyDescent="0.35">
      <c r="A61" s="47"/>
      <c r="B61" s="243"/>
      <c r="C61" s="94" t="s">
        <v>672</v>
      </c>
      <c r="D61" s="92" t="s">
        <v>659</v>
      </c>
      <c r="E61" s="162">
        <v>0</v>
      </c>
      <c r="F61" s="162">
        <v>1</v>
      </c>
      <c r="G61" s="162">
        <v>1</v>
      </c>
      <c r="H61" s="162">
        <v>0</v>
      </c>
      <c r="I61" s="162">
        <v>0</v>
      </c>
      <c r="J61" s="162">
        <f t="shared" si="10"/>
        <v>0.4</v>
      </c>
      <c r="K61" s="163">
        <f t="shared" si="11"/>
        <v>0</v>
      </c>
      <c r="L61" s="163">
        <f t="shared" ref="L61:L69" si="14">IF(F61=0,0,R61/F61)</f>
        <v>0</v>
      </c>
      <c r="M61" s="163">
        <f t="shared" ref="M61:M69" si="15">IF(G61=0,0,S61/G61)</f>
        <v>0</v>
      </c>
      <c r="N61" s="163">
        <f t="shared" ref="N61:N69" si="16">IF(H61=0,0,T61/H61)</f>
        <v>0</v>
      </c>
      <c r="O61" s="163">
        <f t="shared" ref="O61:O69" si="17">IF(I61=0,0,U61/I61)</f>
        <v>0</v>
      </c>
      <c r="P61" s="176">
        <f t="shared" si="12"/>
        <v>0</v>
      </c>
      <c r="Q61" s="162">
        <v>0</v>
      </c>
      <c r="R61" s="162">
        <v>0</v>
      </c>
      <c r="S61" s="162">
        <v>0</v>
      </c>
      <c r="T61" s="162">
        <v>0</v>
      </c>
      <c r="U61" s="162">
        <v>0</v>
      </c>
      <c r="V61" s="162">
        <f t="shared" si="13"/>
        <v>0</v>
      </c>
    </row>
    <row r="62" spans="1:22" x14ac:dyDescent="0.35">
      <c r="B62" s="243"/>
      <c r="C62" s="94" t="s">
        <v>673</v>
      </c>
      <c r="D62" s="92" t="s">
        <v>659</v>
      </c>
      <c r="E62" s="162">
        <v>61</v>
      </c>
      <c r="F62" s="162">
        <v>34</v>
      </c>
      <c r="G62" s="162">
        <v>54</v>
      </c>
      <c r="H62" s="162">
        <v>29</v>
      </c>
      <c r="I62" s="162">
        <v>48</v>
      </c>
      <c r="J62" s="162">
        <f t="shared" si="10"/>
        <v>45.2</v>
      </c>
      <c r="K62" s="163">
        <f t="shared" si="11"/>
        <v>0</v>
      </c>
      <c r="L62" s="163">
        <f t="shared" si="14"/>
        <v>0</v>
      </c>
      <c r="M62" s="163">
        <f t="shared" si="15"/>
        <v>1.8518518518518517E-2</v>
      </c>
      <c r="N62" s="163">
        <f t="shared" si="16"/>
        <v>0</v>
      </c>
      <c r="O62" s="163">
        <f t="shared" si="17"/>
        <v>0</v>
      </c>
      <c r="P62" s="176">
        <f t="shared" si="12"/>
        <v>4.4247787610619468E-3</v>
      </c>
      <c r="Q62" s="162">
        <v>0</v>
      </c>
      <c r="R62" s="162">
        <v>0</v>
      </c>
      <c r="S62" s="162">
        <v>1</v>
      </c>
      <c r="T62" s="162">
        <v>0</v>
      </c>
      <c r="U62" s="162">
        <v>0</v>
      </c>
      <c r="V62" s="162">
        <f t="shared" si="13"/>
        <v>0.2</v>
      </c>
    </row>
    <row r="63" spans="1:22" x14ac:dyDescent="0.35">
      <c r="B63" s="244"/>
      <c r="C63" s="94" t="s">
        <v>674</v>
      </c>
      <c r="D63" s="92" t="s">
        <v>659</v>
      </c>
      <c r="E63" s="162">
        <v>0</v>
      </c>
      <c r="F63" s="162">
        <v>0</v>
      </c>
      <c r="G63" s="162">
        <v>0</v>
      </c>
      <c r="H63" s="162">
        <v>1</v>
      </c>
      <c r="I63" s="162">
        <v>0</v>
      </c>
      <c r="J63" s="162">
        <f t="shared" si="10"/>
        <v>0.2</v>
      </c>
      <c r="K63" s="163">
        <f t="shared" si="11"/>
        <v>0</v>
      </c>
      <c r="L63" s="163">
        <f t="shared" si="14"/>
        <v>0</v>
      </c>
      <c r="M63" s="163">
        <f t="shared" si="15"/>
        <v>0</v>
      </c>
      <c r="N63" s="163">
        <f t="shared" si="16"/>
        <v>0</v>
      </c>
      <c r="O63" s="163">
        <f t="shared" si="17"/>
        <v>0</v>
      </c>
      <c r="P63" s="176">
        <f t="shared" si="12"/>
        <v>0</v>
      </c>
      <c r="Q63" s="162">
        <v>0</v>
      </c>
      <c r="R63" s="162">
        <v>0</v>
      </c>
      <c r="S63" s="162">
        <v>0</v>
      </c>
      <c r="T63" s="162">
        <v>0</v>
      </c>
      <c r="U63" s="162">
        <v>0</v>
      </c>
      <c r="V63" s="162">
        <f t="shared" si="13"/>
        <v>0</v>
      </c>
    </row>
    <row r="64" spans="1:22" x14ac:dyDescent="0.35">
      <c r="B64" s="239" t="s">
        <v>675</v>
      </c>
      <c r="C64" s="240"/>
      <c r="D64" s="92" t="s">
        <v>659</v>
      </c>
      <c r="E64" s="162">
        <v>31</v>
      </c>
      <c r="F64" s="162">
        <v>13</v>
      </c>
      <c r="G64" s="162">
        <v>19</v>
      </c>
      <c r="H64" s="162">
        <v>18</v>
      </c>
      <c r="I64" s="162">
        <v>27</v>
      </c>
      <c r="J64" s="162">
        <f t="shared" si="10"/>
        <v>21.6</v>
      </c>
      <c r="K64" s="163">
        <f t="shared" si="11"/>
        <v>0</v>
      </c>
      <c r="L64" s="163">
        <f t="shared" si="14"/>
        <v>0</v>
      </c>
      <c r="M64" s="163">
        <f t="shared" si="15"/>
        <v>0</v>
      </c>
      <c r="N64" s="163">
        <f t="shared" si="16"/>
        <v>0</v>
      </c>
      <c r="O64" s="163">
        <f t="shared" si="17"/>
        <v>0</v>
      </c>
      <c r="P64" s="176">
        <f t="shared" si="12"/>
        <v>0</v>
      </c>
      <c r="Q64" s="162">
        <v>0</v>
      </c>
      <c r="R64" s="162">
        <v>0</v>
      </c>
      <c r="S64" s="162">
        <v>0</v>
      </c>
      <c r="T64" s="162">
        <v>0</v>
      </c>
      <c r="U64" s="162">
        <v>0</v>
      </c>
      <c r="V64" s="162">
        <f t="shared" si="13"/>
        <v>0</v>
      </c>
    </row>
    <row r="65" spans="1:22" x14ac:dyDescent="0.35">
      <c r="B65" s="239" t="s">
        <v>64</v>
      </c>
      <c r="C65" s="240"/>
      <c r="D65" s="92" t="s">
        <v>659</v>
      </c>
      <c r="E65" s="162">
        <v>175</v>
      </c>
      <c r="F65" s="162">
        <v>43</v>
      </c>
      <c r="G65" s="162">
        <v>194</v>
      </c>
      <c r="H65" s="162">
        <v>73</v>
      </c>
      <c r="I65" s="162">
        <v>224</v>
      </c>
      <c r="J65" s="162">
        <f t="shared" si="10"/>
        <v>141.80000000000001</v>
      </c>
      <c r="K65" s="163">
        <f t="shared" si="11"/>
        <v>0</v>
      </c>
      <c r="L65" s="163">
        <f t="shared" si="14"/>
        <v>0</v>
      </c>
      <c r="M65" s="163">
        <f t="shared" si="15"/>
        <v>0</v>
      </c>
      <c r="N65" s="163">
        <f t="shared" si="16"/>
        <v>0</v>
      </c>
      <c r="O65" s="163">
        <f t="shared" si="17"/>
        <v>4.464285714285714E-3</v>
      </c>
      <c r="P65" s="176">
        <f t="shared" si="12"/>
        <v>1.4104372355430183E-3</v>
      </c>
      <c r="Q65" s="162">
        <v>0</v>
      </c>
      <c r="R65" s="162">
        <v>0</v>
      </c>
      <c r="S65" s="162">
        <v>0</v>
      </c>
      <c r="T65" s="162">
        <v>0</v>
      </c>
      <c r="U65" s="162">
        <v>1</v>
      </c>
      <c r="V65" s="162">
        <f t="shared" si="13"/>
        <v>0.2</v>
      </c>
    </row>
    <row r="66" spans="1:22" x14ac:dyDescent="0.35">
      <c r="B66" s="239" t="s">
        <v>662</v>
      </c>
      <c r="C66" s="240"/>
      <c r="D66" s="92" t="s">
        <v>659</v>
      </c>
      <c r="E66" s="162">
        <v>132</v>
      </c>
      <c r="F66" s="162">
        <v>116</v>
      </c>
      <c r="G66" s="162">
        <v>88</v>
      </c>
      <c r="H66" s="162">
        <v>85</v>
      </c>
      <c r="I66" s="162">
        <v>108</v>
      </c>
      <c r="J66" s="162">
        <f t="shared" si="10"/>
        <v>105.8</v>
      </c>
      <c r="K66" s="163">
        <f t="shared" si="11"/>
        <v>0</v>
      </c>
      <c r="L66" s="163">
        <f t="shared" si="14"/>
        <v>0</v>
      </c>
      <c r="M66" s="163">
        <f t="shared" si="15"/>
        <v>0</v>
      </c>
      <c r="N66" s="163">
        <f t="shared" si="16"/>
        <v>0</v>
      </c>
      <c r="O66" s="163">
        <f t="shared" si="17"/>
        <v>0</v>
      </c>
      <c r="P66" s="176">
        <f t="shared" si="12"/>
        <v>0</v>
      </c>
      <c r="Q66" s="162">
        <v>0</v>
      </c>
      <c r="R66" s="162">
        <v>0</v>
      </c>
      <c r="S66" s="162">
        <v>0</v>
      </c>
      <c r="T66" s="162">
        <v>0</v>
      </c>
      <c r="U66" s="162">
        <v>0</v>
      </c>
      <c r="V66" s="162">
        <f t="shared" si="13"/>
        <v>0</v>
      </c>
    </row>
    <row r="67" spans="1:22" x14ac:dyDescent="0.35">
      <c r="B67" s="239" t="s">
        <v>676</v>
      </c>
      <c r="C67" s="240"/>
      <c r="D67" s="92" t="s">
        <v>659</v>
      </c>
      <c r="E67" s="162">
        <v>1</v>
      </c>
      <c r="F67" s="162">
        <v>0</v>
      </c>
      <c r="G67" s="162">
        <v>1</v>
      </c>
      <c r="H67" s="162">
        <v>2</v>
      </c>
      <c r="I67" s="162">
        <v>0</v>
      </c>
      <c r="J67" s="162">
        <f t="shared" si="10"/>
        <v>0.8</v>
      </c>
      <c r="K67" s="163">
        <f t="shared" si="11"/>
        <v>0</v>
      </c>
      <c r="L67" s="163">
        <f t="shared" si="14"/>
        <v>0</v>
      </c>
      <c r="M67" s="163">
        <f t="shared" si="15"/>
        <v>0</v>
      </c>
      <c r="N67" s="163">
        <f t="shared" si="16"/>
        <v>0</v>
      </c>
      <c r="O67" s="163">
        <f t="shared" si="17"/>
        <v>0</v>
      </c>
      <c r="P67" s="176">
        <f t="shared" si="12"/>
        <v>0</v>
      </c>
      <c r="Q67" s="162">
        <v>0</v>
      </c>
      <c r="R67" s="162">
        <v>0</v>
      </c>
      <c r="S67" s="162">
        <v>0</v>
      </c>
      <c r="T67" s="162">
        <v>0</v>
      </c>
      <c r="U67" s="162">
        <v>0</v>
      </c>
      <c r="V67" s="162">
        <f t="shared" si="13"/>
        <v>0</v>
      </c>
    </row>
    <row r="68" spans="1:22" x14ac:dyDescent="0.35">
      <c r="B68" s="241" t="s">
        <v>677</v>
      </c>
      <c r="C68" s="241"/>
      <c r="D68" s="92" t="s">
        <v>659</v>
      </c>
      <c r="E68" s="162">
        <v>10</v>
      </c>
      <c r="F68" s="162">
        <v>12</v>
      </c>
      <c r="G68" s="162">
        <v>6</v>
      </c>
      <c r="H68" s="162">
        <v>7</v>
      </c>
      <c r="I68" s="162">
        <v>9</v>
      </c>
      <c r="J68" s="162">
        <f t="shared" si="10"/>
        <v>8.8000000000000007</v>
      </c>
      <c r="K68" s="163">
        <f t="shared" si="11"/>
        <v>0</v>
      </c>
      <c r="L68" s="163">
        <f t="shared" si="14"/>
        <v>0</v>
      </c>
      <c r="M68" s="163">
        <f t="shared" si="15"/>
        <v>0</v>
      </c>
      <c r="N68" s="163">
        <f t="shared" si="16"/>
        <v>0</v>
      </c>
      <c r="O68" s="163">
        <f t="shared" si="17"/>
        <v>0</v>
      </c>
      <c r="P68" s="176">
        <f t="shared" si="12"/>
        <v>0</v>
      </c>
      <c r="Q68" s="162">
        <v>0</v>
      </c>
      <c r="R68" s="162">
        <v>0</v>
      </c>
      <c r="S68" s="162">
        <v>0</v>
      </c>
      <c r="T68" s="162">
        <v>0</v>
      </c>
      <c r="U68" s="162">
        <v>0</v>
      </c>
      <c r="V68" s="162">
        <f t="shared" si="13"/>
        <v>0</v>
      </c>
    </row>
    <row r="69" spans="1:22" x14ac:dyDescent="0.35">
      <c r="B69" s="241" t="s">
        <v>678</v>
      </c>
      <c r="C69" s="241"/>
      <c r="D69" s="92" t="s">
        <v>659</v>
      </c>
      <c r="E69" s="164">
        <v>4</v>
      </c>
      <c r="F69" s="164">
        <v>3</v>
      </c>
      <c r="G69" s="164">
        <v>4</v>
      </c>
      <c r="H69" s="164">
        <v>1</v>
      </c>
      <c r="I69" s="164">
        <v>8</v>
      </c>
      <c r="J69" s="162">
        <f t="shared" si="10"/>
        <v>4</v>
      </c>
      <c r="K69" s="163">
        <f t="shared" si="11"/>
        <v>0</v>
      </c>
      <c r="L69" s="163">
        <f t="shared" si="14"/>
        <v>0</v>
      </c>
      <c r="M69" s="163">
        <f t="shared" si="15"/>
        <v>0</v>
      </c>
      <c r="N69" s="163">
        <f t="shared" si="16"/>
        <v>0</v>
      </c>
      <c r="O69" s="163">
        <f t="shared" si="17"/>
        <v>0.125</v>
      </c>
      <c r="P69" s="176">
        <f t="shared" si="12"/>
        <v>0.05</v>
      </c>
      <c r="Q69" s="164">
        <v>0</v>
      </c>
      <c r="R69" s="164">
        <v>0</v>
      </c>
      <c r="S69" s="164">
        <v>0</v>
      </c>
      <c r="T69" s="164">
        <v>0</v>
      </c>
      <c r="U69" s="164">
        <v>1</v>
      </c>
      <c r="V69" s="162">
        <f t="shared" si="13"/>
        <v>0.2</v>
      </c>
    </row>
    <row r="70" spans="1:22" s="40" customFormat="1" x14ac:dyDescent="0.35">
      <c r="B70" s="160"/>
      <c r="C70" s="160"/>
      <c r="D70" s="160"/>
      <c r="E70" s="160"/>
      <c r="F70" s="160"/>
      <c r="G70" s="160"/>
      <c r="H70" s="160"/>
      <c r="I70" s="160"/>
      <c r="J70" s="160"/>
      <c r="K70" s="160"/>
      <c r="L70" s="160"/>
      <c r="M70" s="160"/>
      <c r="N70" s="160"/>
      <c r="O70" s="160"/>
      <c r="P70" s="160"/>
      <c r="Q70" s="160"/>
      <c r="R70" s="160"/>
      <c r="S70" s="160"/>
      <c r="T70" s="160"/>
      <c r="U70" s="160"/>
      <c r="V70" s="160"/>
    </row>
    <row r="71" spans="1:22" s="40" customFormat="1" x14ac:dyDescent="0.35">
      <c r="B71" s="160"/>
      <c r="C71" s="160"/>
      <c r="D71" s="160"/>
      <c r="E71" s="160"/>
      <c r="F71" s="160"/>
      <c r="G71" s="160"/>
      <c r="H71" s="160"/>
      <c r="I71" s="160"/>
      <c r="J71" s="160"/>
      <c r="K71" s="160"/>
      <c r="L71" s="160"/>
      <c r="M71" s="160"/>
      <c r="N71" s="160"/>
      <c r="O71" s="160"/>
      <c r="P71" s="160"/>
      <c r="Q71" s="160"/>
      <c r="R71" s="160"/>
      <c r="S71" s="160"/>
      <c r="T71" s="160"/>
      <c r="U71" s="160"/>
      <c r="V71" s="160"/>
    </row>
    <row r="72" spans="1:22" s="40" customFormat="1" x14ac:dyDescent="0.35">
      <c r="B72" s="160"/>
      <c r="C72" s="160"/>
      <c r="D72" s="160"/>
      <c r="E72" s="160"/>
      <c r="F72" s="160"/>
      <c r="G72" s="160"/>
      <c r="H72" s="160"/>
      <c r="I72" s="160"/>
      <c r="J72" s="160"/>
      <c r="K72" s="160"/>
      <c r="L72" s="160"/>
      <c r="M72" s="160"/>
      <c r="N72" s="160"/>
      <c r="O72" s="160"/>
      <c r="P72" s="160"/>
      <c r="Q72" s="160"/>
      <c r="R72" s="160"/>
      <c r="S72" s="160"/>
      <c r="T72" s="160"/>
      <c r="U72" s="160"/>
      <c r="V72" s="160"/>
    </row>
    <row r="73" spans="1:22" s="169" customFormat="1" ht="21" x14ac:dyDescent="0.5">
      <c r="A73" s="169" t="s">
        <v>0</v>
      </c>
      <c r="B73" s="170">
        <v>3.2</v>
      </c>
      <c r="C73" s="169" t="s">
        <v>88</v>
      </c>
    </row>
    <row r="74" spans="1:22" s="169" customFormat="1" ht="21" x14ac:dyDescent="0.5">
      <c r="A74" s="169" t="s">
        <v>76</v>
      </c>
      <c r="B74" s="170" t="s">
        <v>858</v>
      </c>
      <c r="C74" s="169" t="s">
        <v>860</v>
      </c>
    </row>
    <row r="75" spans="1:22" s="40" customFormat="1" x14ac:dyDescent="0.35">
      <c r="A75" s="159" t="s">
        <v>680</v>
      </c>
      <c r="B75" s="159"/>
      <c r="C75" s="159"/>
      <c r="D75" s="160"/>
      <c r="E75" s="160"/>
      <c r="F75" s="160"/>
      <c r="G75" s="160"/>
      <c r="H75" s="160"/>
      <c r="I75" s="160"/>
      <c r="J75" s="160"/>
      <c r="K75" s="160"/>
      <c r="L75" s="160"/>
      <c r="M75" s="160"/>
      <c r="N75" s="160"/>
      <c r="O75" s="160"/>
      <c r="P75" s="160"/>
      <c r="Q75" s="160"/>
      <c r="R75" s="160"/>
      <c r="S75" s="160"/>
      <c r="T75" s="160"/>
      <c r="U75" s="160"/>
      <c r="V75" s="160"/>
    </row>
    <row r="76" spans="1:22" s="40" customFormat="1" x14ac:dyDescent="0.35">
      <c r="A76" s="159" t="s">
        <v>661</v>
      </c>
      <c r="B76" s="159"/>
      <c r="C76" s="159"/>
      <c r="D76" s="160"/>
      <c r="E76" s="160"/>
      <c r="F76" s="160"/>
      <c r="G76" s="160"/>
      <c r="H76" s="160"/>
      <c r="I76" s="160"/>
      <c r="J76" s="160"/>
      <c r="K76" s="160"/>
      <c r="L76" s="160"/>
      <c r="M76" s="160"/>
      <c r="N76" s="160"/>
      <c r="O76" s="160"/>
      <c r="P76" s="160"/>
      <c r="Q76" s="160"/>
      <c r="R76" s="160"/>
      <c r="S76" s="160"/>
      <c r="T76" s="160"/>
      <c r="U76" s="160"/>
      <c r="V76" s="160"/>
    </row>
    <row r="77" spans="1:22" s="40" customFormat="1" x14ac:dyDescent="0.35">
      <c r="B77" s="160"/>
      <c r="C77" s="160"/>
      <c r="D77" s="160"/>
      <c r="E77" s="160"/>
      <c r="F77" s="160"/>
      <c r="G77" s="160"/>
      <c r="H77" s="160"/>
      <c r="I77" s="160"/>
      <c r="J77" s="160"/>
      <c r="K77" s="160"/>
      <c r="L77" s="160"/>
      <c r="M77" s="160"/>
      <c r="N77" s="160"/>
      <c r="O77" s="160"/>
      <c r="P77" s="160"/>
      <c r="Q77" s="160"/>
      <c r="R77" s="160"/>
      <c r="S77" s="160"/>
      <c r="T77" s="160"/>
      <c r="U77" s="160"/>
      <c r="V77" s="160"/>
    </row>
    <row r="78" spans="1:22" ht="30.75" customHeight="1" x14ac:dyDescent="0.35">
      <c r="A78" s="47"/>
      <c r="B78" s="248" t="s">
        <v>254</v>
      </c>
      <c r="C78" s="249"/>
      <c r="D78" s="252" t="s">
        <v>255</v>
      </c>
      <c r="E78" s="254" t="s">
        <v>256</v>
      </c>
      <c r="F78" s="255"/>
      <c r="G78" s="255"/>
      <c r="H78" s="255"/>
      <c r="I78" s="255"/>
      <c r="J78" s="256"/>
      <c r="K78" s="254" t="s">
        <v>257</v>
      </c>
      <c r="L78" s="255"/>
      <c r="M78" s="255"/>
      <c r="N78" s="255"/>
      <c r="O78" s="255"/>
      <c r="P78" s="256"/>
      <c r="Q78" s="254" t="s">
        <v>258</v>
      </c>
      <c r="R78" s="255"/>
      <c r="S78" s="255"/>
      <c r="T78" s="255"/>
      <c r="U78" s="255"/>
      <c r="V78" s="256"/>
    </row>
    <row r="79" spans="1:22" ht="42.75" customHeight="1" x14ac:dyDescent="0.35">
      <c r="A79" s="47"/>
      <c r="B79" s="250"/>
      <c r="C79" s="251"/>
      <c r="D79" s="253"/>
      <c r="E79" s="93">
        <v>2015</v>
      </c>
      <c r="F79" s="93">
        <v>2016</v>
      </c>
      <c r="G79" s="93">
        <v>2017</v>
      </c>
      <c r="H79" s="93">
        <v>2018</v>
      </c>
      <c r="I79" s="93">
        <v>2019</v>
      </c>
      <c r="J79" s="93" t="s">
        <v>259</v>
      </c>
      <c r="K79" s="93">
        <v>2015</v>
      </c>
      <c r="L79" s="93">
        <v>2016</v>
      </c>
      <c r="M79" s="93">
        <v>2017</v>
      </c>
      <c r="N79" s="93">
        <v>2018</v>
      </c>
      <c r="O79" s="93">
        <v>2019</v>
      </c>
      <c r="P79" s="93" t="s">
        <v>259</v>
      </c>
      <c r="Q79" s="93">
        <v>2015</v>
      </c>
      <c r="R79" s="93">
        <v>2016</v>
      </c>
      <c r="S79" s="93">
        <v>2017</v>
      </c>
      <c r="T79" s="93">
        <v>2018</v>
      </c>
      <c r="U79" s="93">
        <v>2019</v>
      </c>
      <c r="V79" s="93" t="s">
        <v>259</v>
      </c>
    </row>
    <row r="80" spans="1:22" x14ac:dyDescent="0.35">
      <c r="A80" s="47"/>
      <c r="B80" s="242" t="s">
        <v>102</v>
      </c>
      <c r="C80" s="94" t="s">
        <v>103</v>
      </c>
      <c r="D80" s="92" t="s">
        <v>659</v>
      </c>
      <c r="E80" s="162">
        <v>2</v>
      </c>
      <c r="F80" s="162">
        <v>0</v>
      </c>
      <c r="G80" s="162">
        <v>0</v>
      </c>
      <c r="H80" s="162">
        <v>2</v>
      </c>
      <c r="I80" s="162">
        <v>1</v>
      </c>
      <c r="J80" s="162">
        <f>AVERAGE(E80:I80)</f>
        <v>1</v>
      </c>
      <c r="K80" s="163">
        <f>IF(E80=0,0,Q80/E80)</f>
        <v>0</v>
      </c>
      <c r="L80" s="163">
        <f t="shared" ref="L80:O80" si="18">IF(F80=0,0,R80/F80)</f>
        <v>0</v>
      </c>
      <c r="M80" s="163">
        <f t="shared" si="18"/>
        <v>0</v>
      </c>
      <c r="N80" s="163">
        <f t="shared" si="18"/>
        <v>0</v>
      </c>
      <c r="O80" s="163">
        <f t="shared" si="18"/>
        <v>1</v>
      </c>
      <c r="P80" s="176">
        <f t="shared" ref="P80:P104" si="19">IF(SUM(Q80:U80)=0,0,SUM(Q80:U80)/SUM(E80:I80))</f>
        <v>0.2</v>
      </c>
      <c r="Q80" s="162">
        <v>0</v>
      </c>
      <c r="R80" s="162">
        <v>0</v>
      </c>
      <c r="S80" s="162">
        <v>0</v>
      </c>
      <c r="T80" s="162">
        <v>0</v>
      </c>
      <c r="U80" s="162">
        <v>1</v>
      </c>
      <c r="V80" s="162">
        <f>AVERAGE(Q80:U80)</f>
        <v>0.2</v>
      </c>
    </row>
    <row r="81" spans="1:22" x14ac:dyDescent="0.35">
      <c r="A81" s="47"/>
      <c r="B81" s="243"/>
      <c r="C81" s="94" t="s">
        <v>104</v>
      </c>
      <c r="D81" s="92" t="s">
        <v>659</v>
      </c>
      <c r="E81" s="162">
        <v>0</v>
      </c>
      <c r="F81" s="162">
        <v>0</v>
      </c>
      <c r="G81" s="162">
        <v>0</v>
      </c>
      <c r="H81" s="162">
        <v>0</v>
      </c>
      <c r="I81" s="162">
        <v>0</v>
      </c>
      <c r="J81" s="162">
        <f t="shared" ref="J81:J104" si="20">AVERAGE(E81:I81)</f>
        <v>0</v>
      </c>
      <c r="K81" s="163">
        <f t="shared" ref="K81:K104" si="21">IF(E81=0,0,Q81/E81)</f>
        <v>0</v>
      </c>
      <c r="L81" s="163">
        <f t="shared" ref="L81:L104" si="22">IF(F81=0,0,R81/F81)</f>
        <v>0</v>
      </c>
      <c r="M81" s="163">
        <f t="shared" ref="M81:M104" si="23">IF(G81=0,0,S81/G81)</f>
        <v>0</v>
      </c>
      <c r="N81" s="163">
        <f t="shared" ref="N81:N104" si="24">IF(H81=0,0,T81/H81)</f>
        <v>0</v>
      </c>
      <c r="O81" s="163">
        <f t="shared" ref="O81:O104" si="25">IF(I81=0,0,U81/I81)</f>
        <v>0</v>
      </c>
      <c r="P81" s="176">
        <f t="shared" si="19"/>
        <v>0</v>
      </c>
      <c r="Q81" s="162">
        <v>0</v>
      </c>
      <c r="R81" s="162">
        <v>0</v>
      </c>
      <c r="S81" s="162">
        <v>0</v>
      </c>
      <c r="T81" s="162">
        <v>0</v>
      </c>
      <c r="U81" s="162">
        <v>0</v>
      </c>
      <c r="V81" s="162">
        <f t="shared" ref="V81:V104" si="26">AVERAGE(Q81:U81)</f>
        <v>0</v>
      </c>
    </row>
    <row r="82" spans="1:22" x14ac:dyDescent="0.35">
      <c r="A82" s="47"/>
      <c r="B82" s="243"/>
      <c r="C82" s="95" t="s">
        <v>64</v>
      </c>
      <c r="D82" s="92" t="s">
        <v>659</v>
      </c>
      <c r="E82" s="162">
        <v>16</v>
      </c>
      <c r="F82" s="162">
        <v>2</v>
      </c>
      <c r="G82" s="162">
        <v>11</v>
      </c>
      <c r="H82" s="162">
        <v>0</v>
      </c>
      <c r="I82" s="162">
        <v>2</v>
      </c>
      <c r="J82" s="162">
        <f t="shared" si="20"/>
        <v>6.2</v>
      </c>
      <c r="K82" s="163">
        <f t="shared" si="21"/>
        <v>0</v>
      </c>
      <c r="L82" s="163">
        <f t="shared" si="22"/>
        <v>0</v>
      </c>
      <c r="M82" s="163">
        <f t="shared" si="23"/>
        <v>0</v>
      </c>
      <c r="N82" s="163">
        <f t="shared" si="24"/>
        <v>0</v>
      </c>
      <c r="O82" s="163">
        <f t="shared" si="25"/>
        <v>0</v>
      </c>
      <c r="P82" s="176">
        <f t="shared" si="19"/>
        <v>0</v>
      </c>
      <c r="Q82" s="162">
        <v>0</v>
      </c>
      <c r="R82" s="162">
        <v>0</v>
      </c>
      <c r="S82" s="162">
        <v>0</v>
      </c>
      <c r="T82" s="162">
        <v>0</v>
      </c>
      <c r="U82" s="162">
        <v>0</v>
      </c>
      <c r="V82" s="162">
        <f t="shared" si="26"/>
        <v>0</v>
      </c>
    </row>
    <row r="83" spans="1:22" x14ac:dyDescent="0.35">
      <c r="A83" s="47"/>
      <c r="B83" s="243"/>
      <c r="C83" s="95" t="s">
        <v>662</v>
      </c>
      <c r="D83" s="92" t="s">
        <v>659</v>
      </c>
      <c r="E83" s="162">
        <v>0</v>
      </c>
      <c r="F83" s="162">
        <v>0</v>
      </c>
      <c r="G83" s="162">
        <v>0</v>
      </c>
      <c r="H83" s="162">
        <v>1</v>
      </c>
      <c r="I83" s="162">
        <v>0</v>
      </c>
      <c r="J83" s="162">
        <f t="shared" si="20"/>
        <v>0.2</v>
      </c>
      <c r="K83" s="163">
        <f t="shared" si="21"/>
        <v>0</v>
      </c>
      <c r="L83" s="163">
        <f t="shared" si="22"/>
        <v>0</v>
      </c>
      <c r="M83" s="163">
        <f t="shared" si="23"/>
        <v>0</v>
      </c>
      <c r="N83" s="163">
        <f t="shared" si="24"/>
        <v>0</v>
      </c>
      <c r="O83" s="163">
        <f t="shared" si="25"/>
        <v>0</v>
      </c>
      <c r="P83" s="176">
        <f t="shared" si="19"/>
        <v>0</v>
      </c>
      <c r="Q83" s="162">
        <v>0</v>
      </c>
      <c r="R83" s="162">
        <v>0</v>
      </c>
      <c r="S83" s="162">
        <v>0</v>
      </c>
      <c r="T83" s="162">
        <v>0</v>
      </c>
      <c r="U83" s="162">
        <v>0</v>
      </c>
      <c r="V83" s="162">
        <f t="shared" si="26"/>
        <v>0</v>
      </c>
    </row>
    <row r="84" spans="1:22" x14ac:dyDescent="0.35">
      <c r="A84" s="47"/>
      <c r="B84" s="243"/>
      <c r="C84" s="94" t="s">
        <v>260</v>
      </c>
      <c r="D84" s="92" t="s">
        <v>659</v>
      </c>
      <c r="E84" s="162">
        <v>2</v>
      </c>
      <c r="F84" s="162">
        <v>0</v>
      </c>
      <c r="G84" s="162">
        <v>2</v>
      </c>
      <c r="H84" s="162">
        <v>0</v>
      </c>
      <c r="I84" s="162">
        <v>0</v>
      </c>
      <c r="J84" s="162">
        <f t="shared" si="20"/>
        <v>0.8</v>
      </c>
      <c r="K84" s="163">
        <f t="shared" si="21"/>
        <v>0</v>
      </c>
      <c r="L84" s="163">
        <f t="shared" si="22"/>
        <v>0</v>
      </c>
      <c r="M84" s="163">
        <f t="shared" si="23"/>
        <v>0</v>
      </c>
      <c r="N84" s="163">
        <f t="shared" si="24"/>
        <v>0</v>
      </c>
      <c r="O84" s="163">
        <f t="shared" si="25"/>
        <v>0</v>
      </c>
      <c r="P84" s="176">
        <f t="shared" si="19"/>
        <v>0</v>
      </c>
      <c r="Q84" s="162">
        <v>0</v>
      </c>
      <c r="R84" s="162">
        <v>0</v>
      </c>
      <c r="S84" s="162">
        <v>0</v>
      </c>
      <c r="T84" s="162">
        <v>0</v>
      </c>
      <c r="U84" s="162">
        <v>0</v>
      </c>
      <c r="V84" s="162">
        <f t="shared" si="26"/>
        <v>0</v>
      </c>
    </row>
    <row r="85" spans="1:22" x14ac:dyDescent="0.35">
      <c r="A85" s="47"/>
      <c r="B85" s="244"/>
      <c r="C85" s="94" t="s">
        <v>105</v>
      </c>
      <c r="D85" s="92" t="s">
        <v>659</v>
      </c>
      <c r="E85" s="162">
        <v>1</v>
      </c>
      <c r="F85" s="162">
        <v>0</v>
      </c>
      <c r="G85" s="162">
        <v>0</v>
      </c>
      <c r="H85" s="162">
        <v>0</v>
      </c>
      <c r="I85" s="162">
        <v>0</v>
      </c>
      <c r="J85" s="162">
        <f t="shared" si="20"/>
        <v>0.2</v>
      </c>
      <c r="K85" s="163">
        <f t="shared" si="21"/>
        <v>0</v>
      </c>
      <c r="L85" s="163">
        <f t="shared" si="22"/>
        <v>0</v>
      </c>
      <c r="M85" s="163">
        <f t="shared" si="23"/>
        <v>0</v>
      </c>
      <c r="N85" s="163">
        <f t="shared" si="24"/>
        <v>0</v>
      </c>
      <c r="O85" s="163">
        <f t="shared" si="25"/>
        <v>0</v>
      </c>
      <c r="P85" s="176">
        <f t="shared" si="19"/>
        <v>0</v>
      </c>
      <c r="Q85" s="162">
        <v>0</v>
      </c>
      <c r="R85" s="162">
        <v>0</v>
      </c>
      <c r="S85" s="162">
        <v>0</v>
      </c>
      <c r="T85" s="162">
        <v>0</v>
      </c>
      <c r="U85" s="162">
        <v>0</v>
      </c>
      <c r="V85" s="162">
        <f t="shared" si="26"/>
        <v>0</v>
      </c>
    </row>
    <row r="86" spans="1:22" x14ac:dyDescent="0.35">
      <c r="A86" s="47"/>
      <c r="B86" s="239" t="s">
        <v>663</v>
      </c>
      <c r="C86" s="240"/>
      <c r="D86" s="92" t="s">
        <v>659</v>
      </c>
      <c r="E86" s="162">
        <v>1</v>
      </c>
      <c r="F86" s="162">
        <v>2</v>
      </c>
      <c r="G86" s="162">
        <v>1</v>
      </c>
      <c r="H86" s="162">
        <v>3</v>
      </c>
      <c r="I86" s="162">
        <v>2</v>
      </c>
      <c r="J86" s="162">
        <f t="shared" si="20"/>
        <v>1.8</v>
      </c>
      <c r="K86" s="163">
        <f t="shared" si="21"/>
        <v>0</v>
      </c>
      <c r="L86" s="163">
        <f t="shared" si="22"/>
        <v>0</v>
      </c>
      <c r="M86" s="163">
        <f t="shared" si="23"/>
        <v>0</v>
      </c>
      <c r="N86" s="163">
        <f t="shared" si="24"/>
        <v>0</v>
      </c>
      <c r="O86" s="163">
        <f t="shared" si="25"/>
        <v>0</v>
      </c>
      <c r="P86" s="176">
        <f t="shared" si="19"/>
        <v>0</v>
      </c>
      <c r="Q86" s="162">
        <v>0</v>
      </c>
      <c r="R86" s="162">
        <v>0</v>
      </c>
      <c r="S86" s="162">
        <v>0</v>
      </c>
      <c r="T86" s="162">
        <v>0</v>
      </c>
      <c r="U86" s="162">
        <v>0</v>
      </c>
      <c r="V86" s="162">
        <f t="shared" si="26"/>
        <v>0</v>
      </c>
    </row>
    <row r="87" spans="1:22" x14ac:dyDescent="0.35">
      <c r="A87" s="47"/>
      <c r="B87" s="242" t="s">
        <v>261</v>
      </c>
      <c r="C87" s="94" t="s">
        <v>664</v>
      </c>
      <c r="D87" s="92" t="s">
        <v>659</v>
      </c>
      <c r="E87" s="162">
        <v>1</v>
      </c>
      <c r="F87" s="162">
        <v>0</v>
      </c>
      <c r="G87" s="162">
        <v>0</v>
      </c>
      <c r="H87" s="162">
        <v>0</v>
      </c>
      <c r="I87" s="162">
        <v>0</v>
      </c>
      <c r="J87" s="162">
        <f t="shared" si="20"/>
        <v>0.2</v>
      </c>
      <c r="K87" s="163">
        <f t="shared" si="21"/>
        <v>0</v>
      </c>
      <c r="L87" s="163">
        <f t="shared" si="22"/>
        <v>0</v>
      </c>
      <c r="M87" s="163">
        <f t="shared" si="23"/>
        <v>0</v>
      </c>
      <c r="N87" s="163">
        <f t="shared" si="24"/>
        <v>0</v>
      </c>
      <c r="O87" s="163">
        <f t="shared" si="25"/>
        <v>0</v>
      </c>
      <c r="P87" s="176">
        <f t="shared" si="19"/>
        <v>0</v>
      </c>
      <c r="Q87" s="162">
        <v>0</v>
      </c>
      <c r="R87" s="162">
        <v>0</v>
      </c>
      <c r="S87" s="162">
        <v>0</v>
      </c>
      <c r="T87" s="162">
        <v>0</v>
      </c>
      <c r="U87" s="162">
        <v>0</v>
      </c>
      <c r="V87" s="162">
        <f t="shared" si="26"/>
        <v>0</v>
      </c>
    </row>
    <row r="88" spans="1:22" x14ac:dyDescent="0.35">
      <c r="A88" s="47"/>
      <c r="B88" s="243"/>
      <c r="C88" s="94" t="s">
        <v>665</v>
      </c>
      <c r="D88" s="92" t="s">
        <v>659</v>
      </c>
      <c r="E88" s="162">
        <v>0</v>
      </c>
      <c r="F88" s="162">
        <v>0</v>
      </c>
      <c r="G88" s="162">
        <v>0</v>
      </c>
      <c r="H88" s="162">
        <v>0</v>
      </c>
      <c r="I88" s="162">
        <v>0</v>
      </c>
      <c r="J88" s="162">
        <f t="shared" si="20"/>
        <v>0</v>
      </c>
      <c r="K88" s="163">
        <f t="shared" si="21"/>
        <v>0</v>
      </c>
      <c r="L88" s="163">
        <f t="shared" si="22"/>
        <v>0</v>
      </c>
      <c r="M88" s="163">
        <f t="shared" si="23"/>
        <v>0</v>
      </c>
      <c r="N88" s="163">
        <f t="shared" si="24"/>
        <v>0</v>
      </c>
      <c r="O88" s="163">
        <f t="shared" si="25"/>
        <v>0</v>
      </c>
      <c r="P88" s="176">
        <f t="shared" si="19"/>
        <v>0</v>
      </c>
      <c r="Q88" s="162">
        <v>0</v>
      </c>
      <c r="R88" s="162">
        <v>0</v>
      </c>
      <c r="S88" s="162">
        <v>0</v>
      </c>
      <c r="T88" s="162">
        <v>0</v>
      </c>
      <c r="U88" s="162">
        <v>0</v>
      </c>
      <c r="V88" s="162">
        <f t="shared" si="26"/>
        <v>0</v>
      </c>
    </row>
    <row r="89" spans="1:22" x14ac:dyDescent="0.35">
      <c r="A89" s="47"/>
      <c r="B89" s="243"/>
      <c r="C89" s="94" t="s">
        <v>666</v>
      </c>
      <c r="D89" s="92" t="s">
        <v>659</v>
      </c>
      <c r="E89" s="162">
        <v>0</v>
      </c>
      <c r="F89" s="162">
        <v>0</v>
      </c>
      <c r="G89" s="162">
        <v>0</v>
      </c>
      <c r="H89" s="162">
        <v>0</v>
      </c>
      <c r="I89" s="162">
        <v>0</v>
      </c>
      <c r="J89" s="162">
        <f t="shared" si="20"/>
        <v>0</v>
      </c>
      <c r="K89" s="163">
        <f t="shared" si="21"/>
        <v>0</v>
      </c>
      <c r="L89" s="163">
        <f t="shared" si="22"/>
        <v>0</v>
      </c>
      <c r="M89" s="163">
        <f t="shared" si="23"/>
        <v>0</v>
      </c>
      <c r="N89" s="163">
        <f t="shared" si="24"/>
        <v>0</v>
      </c>
      <c r="O89" s="163">
        <f t="shared" si="25"/>
        <v>0</v>
      </c>
      <c r="P89" s="176">
        <f t="shared" si="19"/>
        <v>0</v>
      </c>
      <c r="Q89" s="162">
        <v>0</v>
      </c>
      <c r="R89" s="162">
        <v>0</v>
      </c>
      <c r="S89" s="162">
        <v>0</v>
      </c>
      <c r="T89" s="162">
        <v>0</v>
      </c>
      <c r="U89" s="162">
        <v>0</v>
      </c>
      <c r="V89" s="162">
        <f t="shared" si="26"/>
        <v>0</v>
      </c>
    </row>
    <row r="90" spans="1:22" x14ac:dyDescent="0.35">
      <c r="A90" s="47"/>
      <c r="B90" s="243"/>
      <c r="C90" s="94" t="s">
        <v>667</v>
      </c>
      <c r="D90" s="92" t="s">
        <v>659</v>
      </c>
      <c r="E90" s="162">
        <v>0</v>
      </c>
      <c r="F90" s="162">
        <v>0</v>
      </c>
      <c r="G90" s="162">
        <v>0</v>
      </c>
      <c r="H90" s="162">
        <v>0</v>
      </c>
      <c r="I90" s="162">
        <v>0</v>
      </c>
      <c r="J90" s="162">
        <f t="shared" si="20"/>
        <v>0</v>
      </c>
      <c r="K90" s="163">
        <f t="shared" si="21"/>
        <v>0</v>
      </c>
      <c r="L90" s="163">
        <f t="shared" si="22"/>
        <v>0</v>
      </c>
      <c r="M90" s="163">
        <f t="shared" si="23"/>
        <v>0</v>
      </c>
      <c r="N90" s="163">
        <f t="shared" si="24"/>
        <v>0</v>
      </c>
      <c r="O90" s="163">
        <f t="shared" si="25"/>
        <v>0</v>
      </c>
      <c r="P90" s="176">
        <f t="shared" si="19"/>
        <v>0</v>
      </c>
      <c r="Q90" s="162">
        <v>0</v>
      </c>
      <c r="R90" s="162">
        <v>0</v>
      </c>
      <c r="S90" s="162">
        <v>0</v>
      </c>
      <c r="T90" s="162">
        <v>0</v>
      </c>
      <c r="U90" s="162">
        <v>0</v>
      </c>
      <c r="V90" s="162">
        <f t="shared" si="26"/>
        <v>0</v>
      </c>
    </row>
    <row r="91" spans="1:22" x14ac:dyDescent="0.35">
      <c r="A91" s="47"/>
      <c r="B91" s="243"/>
      <c r="C91" s="94" t="s">
        <v>668</v>
      </c>
      <c r="D91" s="92" t="s">
        <v>659</v>
      </c>
      <c r="E91" s="162">
        <v>0</v>
      </c>
      <c r="F91" s="162">
        <v>0</v>
      </c>
      <c r="G91" s="162">
        <v>0</v>
      </c>
      <c r="H91" s="162">
        <v>0</v>
      </c>
      <c r="I91" s="162">
        <v>0</v>
      </c>
      <c r="J91" s="162">
        <f t="shared" si="20"/>
        <v>0</v>
      </c>
      <c r="K91" s="163">
        <f t="shared" si="21"/>
        <v>0</v>
      </c>
      <c r="L91" s="163">
        <f t="shared" si="22"/>
        <v>0</v>
      </c>
      <c r="M91" s="163">
        <f t="shared" si="23"/>
        <v>0</v>
      </c>
      <c r="N91" s="163">
        <f t="shared" si="24"/>
        <v>0</v>
      </c>
      <c r="O91" s="163">
        <f t="shared" si="25"/>
        <v>0</v>
      </c>
      <c r="P91" s="176">
        <f t="shared" si="19"/>
        <v>0</v>
      </c>
      <c r="Q91" s="162">
        <v>0</v>
      </c>
      <c r="R91" s="162">
        <v>0</v>
      </c>
      <c r="S91" s="162">
        <v>0</v>
      </c>
      <c r="T91" s="162">
        <v>0</v>
      </c>
      <c r="U91" s="162">
        <v>0</v>
      </c>
      <c r="V91" s="162">
        <f t="shared" si="26"/>
        <v>0</v>
      </c>
    </row>
    <row r="92" spans="1:22" x14ac:dyDescent="0.35">
      <c r="A92" s="47"/>
      <c r="B92" s="243"/>
      <c r="C92" s="94" t="s">
        <v>64</v>
      </c>
      <c r="D92" s="92" t="s">
        <v>659</v>
      </c>
      <c r="E92" s="162">
        <v>0</v>
      </c>
      <c r="F92" s="162">
        <v>0</v>
      </c>
      <c r="G92" s="162">
        <v>0</v>
      </c>
      <c r="H92" s="162">
        <v>0</v>
      </c>
      <c r="I92" s="162">
        <v>0</v>
      </c>
      <c r="J92" s="162">
        <f t="shared" si="20"/>
        <v>0</v>
      </c>
      <c r="K92" s="163">
        <f t="shared" si="21"/>
        <v>0</v>
      </c>
      <c r="L92" s="163">
        <f t="shared" si="22"/>
        <v>0</v>
      </c>
      <c r="M92" s="163">
        <f t="shared" si="23"/>
        <v>0</v>
      </c>
      <c r="N92" s="163">
        <f t="shared" si="24"/>
        <v>0</v>
      </c>
      <c r="O92" s="163">
        <f t="shared" si="25"/>
        <v>0</v>
      </c>
      <c r="P92" s="176">
        <f t="shared" si="19"/>
        <v>0</v>
      </c>
      <c r="Q92" s="162">
        <v>0</v>
      </c>
      <c r="R92" s="162">
        <v>0</v>
      </c>
      <c r="S92" s="162">
        <v>0</v>
      </c>
      <c r="T92" s="162">
        <v>0</v>
      </c>
      <c r="U92" s="162">
        <v>0</v>
      </c>
      <c r="V92" s="162">
        <f t="shared" si="26"/>
        <v>0</v>
      </c>
    </row>
    <row r="93" spans="1:22" x14ac:dyDescent="0.35">
      <c r="A93" s="47"/>
      <c r="B93" s="243"/>
      <c r="C93" s="94" t="s">
        <v>669</v>
      </c>
      <c r="D93" s="92" t="s">
        <v>659</v>
      </c>
      <c r="E93" s="162">
        <v>0</v>
      </c>
      <c r="F93" s="162">
        <v>0</v>
      </c>
      <c r="G93" s="162">
        <v>0</v>
      </c>
      <c r="H93" s="162">
        <v>0</v>
      </c>
      <c r="I93" s="162">
        <v>0</v>
      </c>
      <c r="J93" s="162">
        <f t="shared" si="20"/>
        <v>0</v>
      </c>
      <c r="K93" s="163">
        <f t="shared" si="21"/>
        <v>0</v>
      </c>
      <c r="L93" s="163">
        <f t="shared" si="22"/>
        <v>0</v>
      </c>
      <c r="M93" s="163">
        <f t="shared" si="23"/>
        <v>0</v>
      </c>
      <c r="N93" s="163">
        <f t="shared" si="24"/>
        <v>0</v>
      </c>
      <c r="O93" s="163">
        <f t="shared" si="25"/>
        <v>0</v>
      </c>
      <c r="P93" s="176">
        <f t="shared" si="19"/>
        <v>0</v>
      </c>
      <c r="Q93" s="162">
        <v>0</v>
      </c>
      <c r="R93" s="162">
        <v>0</v>
      </c>
      <c r="S93" s="162">
        <v>0</v>
      </c>
      <c r="T93" s="162">
        <v>0</v>
      </c>
      <c r="U93" s="162">
        <v>0</v>
      </c>
      <c r="V93" s="162">
        <f t="shared" si="26"/>
        <v>0</v>
      </c>
    </row>
    <row r="94" spans="1:22" x14ac:dyDescent="0.35">
      <c r="A94" s="47"/>
      <c r="B94" s="243"/>
      <c r="C94" s="94" t="s">
        <v>670</v>
      </c>
      <c r="D94" s="92" t="s">
        <v>659</v>
      </c>
      <c r="E94" s="162">
        <v>0</v>
      </c>
      <c r="F94" s="162">
        <v>0</v>
      </c>
      <c r="G94" s="162">
        <v>0</v>
      </c>
      <c r="H94" s="162">
        <v>0</v>
      </c>
      <c r="I94" s="162">
        <v>0</v>
      </c>
      <c r="J94" s="162">
        <f t="shared" si="20"/>
        <v>0</v>
      </c>
      <c r="K94" s="163">
        <f t="shared" si="21"/>
        <v>0</v>
      </c>
      <c r="L94" s="163">
        <f t="shared" si="22"/>
        <v>0</v>
      </c>
      <c r="M94" s="163">
        <f t="shared" si="23"/>
        <v>0</v>
      </c>
      <c r="N94" s="163">
        <f t="shared" si="24"/>
        <v>0</v>
      </c>
      <c r="O94" s="163">
        <f t="shared" si="25"/>
        <v>0</v>
      </c>
      <c r="P94" s="176">
        <f t="shared" si="19"/>
        <v>0</v>
      </c>
      <c r="Q94" s="162">
        <v>0</v>
      </c>
      <c r="R94" s="162">
        <v>0</v>
      </c>
      <c r="S94" s="162">
        <v>0</v>
      </c>
      <c r="T94" s="162">
        <v>0</v>
      </c>
      <c r="U94" s="162">
        <v>0</v>
      </c>
      <c r="V94" s="162">
        <f t="shared" si="26"/>
        <v>0</v>
      </c>
    </row>
    <row r="95" spans="1:22" x14ac:dyDescent="0.35">
      <c r="A95" s="47"/>
      <c r="B95" s="243"/>
      <c r="C95" s="94" t="s">
        <v>671</v>
      </c>
      <c r="D95" s="92" t="s">
        <v>659</v>
      </c>
      <c r="E95" s="162">
        <v>0</v>
      </c>
      <c r="F95" s="162">
        <v>0</v>
      </c>
      <c r="G95" s="162">
        <v>0</v>
      </c>
      <c r="H95" s="162">
        <v>0</v>
      </c>
      <c r="I95" s="162">
        <v>1</v>
      </c>
      <c r="J95" s="162">
        <f t="shared" si="20"/>
        <v>0.2</v>
      </c>
      <c r="K95" s="163">
        <f t="shared" si="21"/>
        <v>0</v>
      </c>
      <c r="L95" s="163">
        <f t="shared" si="22"/>
        <v>0</v>
      </c>
      <c r="M95" s="163">
        <f t="shared" si="23"/>
        <v>0</v>
      </c>
      <c r="N95" s="163">
        <f t="shared" si="24"/>
        <v>0</v>
      </c>
      <c r="O95" s="163">
        <f t="shared" si="25"/>
        <v>1</v>
      </c>
      <c r="P95" s="176">
        <f t="shared" si="19"/>
        <v>1</v>
      </c>
      <c r="Q95" s="162">
        <v>0</v>
      </c>
      <c r="R95" s="162">
        <v>0</v>
      </c>
      <c r="S95" s="162">
        <v>0</v>
      </c>
      <c r="T95" s="162">
        <v>0</v>
      </c>
      <c r="U95" s="162">
        <v>1</v>
      </c>
      <c r="V95" s="162">
        <f t="shared" si="26"/>
        <v>0.2</v>
      </c>
    </row>
    <row r="96" spans="1:22" x14ac:dyDescent="0.35">
      <c r="A96" s="47"/>
      <c r="B96" s="243"/>
      <c r="C96" s="94" t="s">
        <v>672</v>
      </c>
      <c r="D96" s="92" t="s">
        <v>659</v>
      </c>
      <c r="E96" s="162">
        <v>0</v>
      </c>
      <c r="F96" s="162">
        <v>0</v>
      </c>
      <c r="G96" s="162">
        <v>0</v>
      </c>
      <c r="H96" s="162">
        <v>0</v>
      </c>
      <c r="I96" s="162">
        <v>0</v>
      </c>
      <c r="J96" s="162">
        <f t="shared" si="20"/>
        <v>0</v>
      </c>
      <c r="K96" s="163">
        <f t="shared" si="21"/>
        <v>0</v>
      </c>
      <c r="L96" s="163">
        <f t="shared" si="22"/>
        <v>0</v>
      </c>
      <c r="M96" s="163">
        <f t="shared" si="23"/>
        <v>0</v>
      </c>
      <c r="N96" s="163">
        <f t="shared" si="24"/>
        <v>0</v>
      </c>
      <c r="O96" s="163">
        <f t="shared" si="25"/>
        <v>0</v>
      </c>
      <c r="P96" s="176">
        <f t="shared" si="19"/>
        <v>0</v>
      </c>
      <c r="Q96" s="162">
        <v>0</v>
      </c>
      <c r="R96" s="162">
        <v>0</v>
      </c>
      <c r="S96" s="162">
        <v>0</v>
      </c>
      <c r="T96" s="162">
        <v>0</v>
      </c>
      <c r="U96" s="162">
        <v>0</v>
      </c>
      <c r="V96" s="162">
        <f t="shared" si="26"/>
        <v>0</v>
      </c>
    </row>
    <row r="97" spans="1:22" x14ac:dyDescent="0.35">
      <c r="B97" s="243"/>
      <c r="C97" s="94" t="s">
        <v>673</v>
      </c>
      <c r="D97" s="92" t="s">
        <v>659</v>
      </c>
      <c r="E97" s="162">
        <v>0</v>
      </c>
      <c r="F97" s="162">
        <v>0</v>
      </c>
      <c r="G97" s="162">
        <v>0</v>
      </c>
      <c r="H97" s="162">
        <v>0</v>
      </c>
      <c r="I97" s="162">
        <v>0</v>
      </c>
      <c r="J97" s="162">
        <f t="shared" si="20"/>
        <v>0</v>
      </c>
      <c r="K97" s="163">
        <f t="shared" si="21"/>
        <v>0</v>
      </c>
      <c r="L97" s="163">
        <f t="shared" si="22"/>
        <v>0</v>
      </c>
      <c r="M97" s="163">
        <f t="shared" si="23"/>
        <v>0</v>
      </c>
      <c r="N97" s="163">
        <f t="shared" si="24"/>
        <v>0</v>
      </c>
      <c r="O97" s="163">
        <f t="shared" si="25"/>
        <v>0</v>
      </c>
      <c r="P97" s="176">
        <f t="shared" si="19"/>
        <v>0</v>
      </c>
      <c r="Q97" s="162">
        <v>0</v>
      </c>
      <c r="R97" s="162">
        <v>0</v>
      </c>
      <c r="S97" s="162">
        <v>0</v>
      </c>
      <c r="T97" s="162">
        <v>0</v>
      </c>
      <c r="U97" s="162">
        <v>0</v>
      </c>
      <c r="V97" s="162">
        <f t="shared" si="26"/>
        <v>0</v>
      </c>
    </row>
    <row r="98" spans="1:22" x14ac:dyDescent="0.35">
      <c r="B98" s="244"/>
      <c r="C98" s="94" t="s">
        <v>674</v>
      </c>
      <c r="D98" s="92" t="s">
        <v>659</v>
      </c>
      <c r="E98" s="162">
        <v>0</v>
      </c>
      <c r="F98" s="162">
        <v>0</v>
      </c>
      <c r="G98" s="162">
        <v>0</v>
      </c>
      <c r="H98" s="162">
        <v>0</v>
      </c>
      <c r="I98" s="162">
        <v>0</v>
      </c>
      <c r="J98" s="162">
        <f t="shared" si="20"/>
        <v>0</v>
      </c>
      <c r="K98" s="163">
        <f t="shared" si="21"/>
        <v>0</v>
      </c>
      <c r="L98" s="163">
        <f t="shared" si="22"/>
        <v>0</v>
      </c>
      <c r="M98" s="163">
        <f t="shared" si="23"/>
        <v>0</v>
      </c>
      <c r="N98" s="163">
        <f t="shared" si="24"/>
        <v>0</v>
      </c>
      <c r="O98" s="163">
        <f t="shared" si="25"/>
        <v>0</v>
      </c>
      <c r="P98" s="176">
        <f t="shared" si="19"/>
        <v>0</v>
      </c>
      <c r="Q98" s="162">
        <v>0</v>
      </c>
      <c r="R98" s="162">
        <v>0</v>
      </c>
      <c r="S98" s="162">
        <v>0</v>
      </c>
      <c r="T98" s="162">
        <v>0</v>
      </c>
      <c r="U98" s="162">
        <v>0</v>
      </c>
      <c r="V98" s="162">
        <f t="shared" si="26"/>
        <v>0</v>
      </c>
    </row>
    <row r="99" spans="1:22" x14ac:dyDescent="0.35">
      <c r="B99" s="239" t="s">
        <v>675</v>
      </c>
      <c r="C99" s="240"/>
      <c r="D99" s="92" t="s">
        <v>659</v>
      </c>
      <c r="E99" s="162">
        <v>2</v>
      </c>
      <c r="F99" s="162">
        <v>0</v>
      </c>
      <c r="G99" s="162">
        <v>1</v>
      </c>
      <c r="H99" s="162">
        <v>0</v>
      </c>
      <c r="I99" s="162">
        <v>0</v>
      </c>
      <c r="J99" s="162">
        <f t="shared" si="20"/>
        <v>0.6</v>
      </c>
      <c r="K99" s="163">
        <f t="shared" si="21"/>
        <v>0</v>
      </c>
      <c r="L99" s="163">
        <f t="shared" si="22"/>
        <v>0</v>
      </c>
      <c r="M99" s="163">
        <f t="shared" si="23"/>
        <v>0</v>
      </c>
      <c r="N99" s="163">
        <f t="shared" si="24"/>
        <v>0</v>
      </c>
      <c r="O99" s="163">
        <f t="shared" si="25"/>
        <v>0</v>
      </c>
      <c r="P99" s="176">
        <f t="shared" si="19"/>
        <v>0</v>
      </c>
      <c r="Q99" s="162">
        <v>0</v>
      </c>
      <c r="R99" s="162">
        <v>0</v>
      </c>
      <c r="S99" s="162">
        <v>0</v>
      </c>
      <c r="T99" s="162">
        <v>0</v>
      </c>
      <c r="U99" s="162">
        <v>0</v>
      </c>
      <c r="V99" s="162">
        <f t="shared" si="26"/>
        <v>0</v>
      </c>
    </row>
    <row r="100" spans="1:22" x14ac:dyDescent="0.35">
      <c r="B100" s="239" t="s">
        <v>64</v>
      </c>
      <c r="C100" s="240"/>
      <c r="D100" s="92" t="s">
        <v>659</v>
      </c>
      <c r="E100" s="162">
        <v>2</v>
      </c>
      <c r="F100" s="162">
        <v>1</v>
      </c>
      <c r="G100" s="162">
        <v>5</v>
      </c>
      <c r="H100" s="162">
        <v>3</v>
      </c>
      <c r="I100" s="162">
        <v>0</v>
      </c>
      <c r="J100" s="162">
        <f t="shared" si="20"/>
        <v>2.2000000000000002</v>
      </c>
      <c r="K100" s="163">
        <f t="shared" si="21"/>
        <v>0</v>
      </c>
      <c r="L100" s="163">
        <f t="shared" si="22"/>
        <v>0</v>
      </c>
      <c r="M100" s="163">
        <f t="shared" si="23"/>
        <v>0</v>
      </c>
      <c r="N100" s="163">
        <f t="shared" si="24"/>
        <v>0</v>
      </c>
      <c r="O100" s="163">
        <f t="shared" si="25"/>
        <v>0</v>
      </c>
      <c r="P100" s="176">
        <f t="shared" si="19"/>
        <v>0</v>
      </c>
      <c r="Q100" s="162">
        <v>0</v>
      </c>
      <c r="R100" s="162">
        <v>0</v>
      </c>
      <c r="S100" s="162">
        <v>0</v>
      </c>
      <c r="T100" s="162">
        <v>0</v>
      </c>
      <c r="U100" s="162">
        <v>0</v>
      </c>
      <c r="V100" s="162">
        <f t="shared" si="26"/>
        <v>0</v>
      </c>
    </row>
    <row r="101" spans="1:22" x14ac:dyDescent="0.35">
      <c r="B101" s="239" t="s">
        <v>662</v>
      </c>
      <c r="C101" s="240"/>
      <c r="D101" s="92" t="s">
        <v>659</v>
      </c>
      <c r="E101" s="162">
        <v>8</v>
      </c>
      <c r="F101" s="162">
        <v>0</v>
      </c>
      <c r="G101" s="162">
        <v>4</v>
      </c>
      <c r="H101" s="162">
        <v>6</v>
      </c>
      <c r="I101" s="162">
        <v>10</v>
      </c>
      <c r="J101" s="162">
        <f t="shared" si="20"/>
        <v>5.6</v>
      </c>
      <c r="K101" s="163">
        <f t="shared" si="21"/>
        <v>0</v>
      </c>
      <c r="L101" s="163">
        <f t="shared" si="22"/>
        <v>0</v>
      </c>
      <c r="M101" s="163">
        <f t="shared" si="23"/>
        <v>0</v>
      </c>
      <c r="N101" s="163">
        <f t="shared" si="24"/>
        <v>0</v>
      </c>
      <c r="O101" s="163">
        <f t="shared" si="25"/>
        <v>0.1</v>
      </c>
      <c r="P101" s="176">
        <f t="shared" si="19"/>
        <v>3.5714285714285712E-2</v>
      </c>
      <c r="Q101" s="162">
        <v>0</v>
      </c>
      <c r="R101" s="162">
        <v>0</v>
      </c>
      <c r="S101" s="162">
        <v>0</v>
      </c>
      <c r="T101" s="162">
        <v>0</v>
      </c>
      <c r="U101" s="162">
        <v>1</v>
      </c>
      <c r="V101" s="162">
        <f t="shared" si="26"/>
        <v>0.2</v>
      </c>
    </row>
    <row r="102" spans="1:22" x14ac:dyDescent="0.35">
      <c r="B102" s="239" t="s">
        <v>676</v>
      </c>
      <c r="C102" s="240"/>
      <c r="D102" s="92" t="s">
        <v>659</v>
      </c>
      <c r="E102" s="162">
        <v>0</v>
      </c>
      <c r="F102" s="162">
        <v>0</v>
      </c>
      <c r="G102" s="162">
        <v>0</v>
      </c>
      <c r="H102" s="162">
        <v>0</v>
      </c>
      <c r="I102" s="162">
        <v>0</v>
      </c>
      <c r="J102" s="162">
        <f t="shared" si="20"/>
        <v>0</v>
      </c>
      <c r="K102" s="163">
        <f t="shared" si="21"/>
        <v>0</v>
      </c>
      <c r="L102" s="163">
        <f t="shared" si="22"/>
        <v>0</v>
      </c>
      <c r="M102" s="163">
        <f t="shared" si="23"/>
        <v>0</v>
      </c>
      <c r="N102" s="163">
        <f t="shared" si="24"/>
        <v>0</v>
      </c>
      <c r="O102" s="163">
        <f t="shared" si="25"/>
        <v>0</v>
      </c>
      <c r="P102" s="176">
        <f t="shared" si="19"/>
        <v>0</v>
      </c>
      <c r="Q102" s="162">
        <v>0</v>
      </c>
      <c r="R102" s="162">
        <v>0</v>
      </c>
      <c r="S102" s="162">
        <v>0</v>
      </c>
      <c r="T102" s="162">
        <v>0</v>
      </c>
      <c r="U102" s="162">
        <v>0</v>
      </c>
      <c r="V102" s="162">
        <f t="shared" si="26"/>
        <v>0</v>
      </c>
    </row>
    <row r="103" spans="1:22" x14ac:dyDescent="0.35">
      <c r="B103" s="241" t="s">
        <v>677</v>
      </c>
      <c r="C103" s="241"/>
      <c r="D103" s="92" t="s">
        <v>659</v>
      </c>
      <c r="E103" s="162">
        <v>1</v>
      </c>
      <c r="F103" s="162">
        <v>0</v>
      </c>
      <c r="G103" s="162">
        <v>0</v>
      </c>
      <c r="H103" s="162">
        <v>0</v>
      </c>
      <c r="I103" s="162">
        <v>0</v>
      </c>
      <c r="J103" s="162">
        <f t="shared" si="20"/>
        <v>0.2</v>
      </c>
      <c r="K103" s="163">
        <f t="shared" si="21"/>
        <v>0</v>
      </c>
      <c r="L103" s="163">
        <f t="shared" si="22"/>
        <v>0</v>
      </c>
      <c r="M103" s="163">
        <f t="shared" si="23"/>
        <v>0</v>
      </c>
      <c r="N103" s="163">
        <f t="shared" si="24"/>
        <v>0</v>
      </c>
      <c r="O103" s="163">
        <f t="shared" si="25"/>
        <v>0</v>
      </c>
      <c r="P103" s="176">
        <f t="shared" si="19"/>
        <v>0</v>
      </c>
      <c r="Q103" s="162">
        <v>0</v>
      </c>
      <c r="R103" s="162">
        <v>0</v>
      </c>
      <c r="S103" s="162">
        <v>0</v>
      </c>
      <c r="T103" s="162">
        <v>0</v>
      </c>
      <c r="U103" s="162">
        <v>0</v>
      </c>
      <c r="V103" s="162">
        <f t="shared" si="26"/>
        <v>0</v>
      </c>
    </row>
    <row r="104" spans="1:22" x14ac:dyDescent="0.35">
      <c r="B104" s="241" t="s">
        <v>678</v>
      </c>
      <c r="C104" s="241"/>
      <c r="D104" s="92" t="s">
        <v>659</v>
      </c>
      <c r="E104" s="164">
        <v>1</v>
      </c>
      <c r="F104" s="164">
        <v>0</v>
      </c>
      <c r="G104" s="164">
        <v>0</v>
      </c>
      <c r="H104" s="164">
        <v>0</v>
      </c>
      <c r="I104" s="164">
        <v>0</v>
      </c>
      <c r="J104" s="162">
        <f t="shared" si="20"/>
        <v>0.2</v>
      </c>
      <c r="K104" s="163">
        <f t="shared" si="21"/>
        <v>0</v>
      </c>
      <c r="L104" s="163">
        <f t="shared" si="22"/>
        <v>0</v>
      </c>
      <c r="M104" s="163">
        <f t="shared" si="23"/>
        <v>0</v>
      </c>
      <c r="N104" s="163">
        <f t="shared" si="24"/>
        <v>0</v>
      </c>
      <c r="O104" s="163">
        <f t="shared" si="25"/>
        <v>0</v>
      </c>
      <c r="P104" s="176">
        <f t="shared" si="19"/>
        <v>0</v>
      </c>
      <c r="Q104" s="164">
        <v>0</v>
      </c>
      <c r="R104" s="164">
        <v>0</v>
      </c>
      <c r="S104" s="164">
        <v>0</v>
      </c>
      <c r="T104" s="164">
        <v>0</v>
      </c>
      <c r="U104" s="164">
        <v>0</v>
      </c>
      <c r="V104" s="162">
        <f t="shared" si="26"/>
        <v>0</v>
      </c>
    </row>
    <row r="105" spans="1:22" s="40" customFormat="1" x14ac:dyDescent="0.35">
      <c r="B105" s="160"/>
      <c r="C105" s="160"/>
      <c r="D105" s="160"/>
      <c r="E105" s="160"/>
      <c r="F105" s="160"/>
      <c r="G105" s="160"/>
      <c r="H105" s="160"/>
      <c r="I105" s="160"/>
      <c r="J105" s="160"/>
      <c r="K105" s="160"/>
      <c r="L105" s="160"/>
      <c r="M105" s="160"/>
      <c r="N105" s="160"/>
      <c r="O105" s="160"/>
      <c r="P105" s="160"/>
      <c r="Q105" s="160"/>
      <c r="R105" s="160"/>
      <c r="S105" s="160"/>
      <c r="T105" s="160"/>
      <c r="U105" s="160"/>
      <c r="V105" s="160"/>
    </row>
    <row r="106" spans="1:22" s="40" customFormat="1" x14ac:dyDescent="0.35">
      <c r="B106" s="160"/>
      <c r="C106" s="160"/>
      <c r="D106" s="160"/>
      <c r="E106" s="160"/>
      <c r="F106" s="160"/>
      <c r="G106" s="160"/>
      <c r="H106" s="160"/>
      <c r="I106" s="160"/>
      <c r="J106" s="160"/>
      <c r="K106" s="160"/>
      <c r="L106" s="160"/>
      <c r="M106" s="160"/>
      <c r="N106" s="160"/>
      <c r="O106" s="160"/>
      <c r="P106" s="160"/>
      <c r="Q106" s="160"/>
      <c r="R106" s="160"/>
      <c r="S106" s="160"/>
      <c r="T106" s="160"/>
      <c r="U106" s="160"/>
      <c r="V106" s="160"/>
    </row>
    <row r="107" spans="1:22" s="40" customFormat="1" x14ac:dyDescent="0.35">
      <c r="B107" s="160"/>
      <c r="C107" s="160"/>
      <c r="D107" s="160"/>
      <c r="E107" s="160"/>
      <c r="F107" s="160"/>
      <c r="G107" s="160"/>
      <c r="H107" s="160"/>
      <c r="I107" s="160"/>
      <c r="J107" s="160"/>
      <c r="K107" s="160"/>
      <c r="L107" s="160"/>
      <c r="M107" s="160"/>
      <c r="N107" s="160"/>
      <c r="O107" s="160"/>
      <c r="P107" s="160"/>
      <c r="Q107" s="160"/>
      <c r="R107" s="160"/>
      <c r="S107" s="160"/>
      <c r="T107" s="160"/>
      <c r="U107" s="160"/>
      <c r="V107" s="160"/>
    </row>
    <row r="108" spans="1:22" s="169" customFormat="1" ht="21" x14ac:dyDescent="0.5">
      <c r="A108" s="169" t="s">
        <v>0</v>
      </c>
      <c r="B108" s="170">
        <v>3.2</v>
      </c>
      <c r="C108" s="169" t="s">
        <v>88</v>
      </c>
    </row>
    <row r="109" spans="1:22" s="169" customFormat="1" ht="21" x14ac:dyDescent="0.5">
      <c r="A109" s="169" t="s">
        <v>76</v>
      </c>
      <c r="B109" s="170" t="s">
        <v>859</v>
      </c>
      <c r="C109" s="169" t="s">
        <v>861</v>
      </c>
    </row>
    <row r="110" spans="1:22" s="40" customFormat="1" x14ac:dyDescent="0.35">
      <c r="B110" s="160"/>
      <c r="C110" s="160"/>
      <c r="D110" s="160"/>
      <c r="E110" s="160"/>
      <c r="F110" s="160"/>
      <c r="G110" s="160"/>
      <c r="H110" s="160"/>
      <c r="I110" s="160"/>
      <c r="J110" s="160"/>
      <c r="K110" s="160"/>
      <c r="L110" s="160"/>
      <c r="M110" s="160"/>
      <c r="N110" s="160"/>
      <c r="O110" s="160"/>
      <c r="P110" s="160"/>
      <c r="Q110" s="160"/>
      <c r="R110" s="160"/>
      <c r="S110" s="160"/>
      <c r="T110" s="160"/>
      <c r="U110" s="160"/>
      <c r="V110" s="160"/>
    </row>
    <row r="111" spans="1:22" s="40" customFormat="1" x14ac:dyDescent="0.35">
      <c r="A111" s="159" t="s">
        <v>680</v>
      </c>
      <c r="B111" s="159"/>
      <c r="C111" s="159"/>
      <c r="D111" s="160"/>
      <c r="E111" s="160"/>
      <c r="F111" s="160"/>
      <c r="G111" s="160"/>
      <c r="H111" s="160"/>
      <c r="I111" s="160"/>
      <c r="J111" s="160"/>
      <c r="K111" s="160"/>
      <c r="L111" s="160"/>
      <c r="M111" s="160"/>
      <c r="N111" s="160"/>
      <c r="O111" s="160"/>
      <c r="P111" s="160"/>
      <c r="Q111" s="160"/>
      <c r="R111" s="160"/>
      <c r="S111" s="160"/>
      <c r="T111" s="160"/>
      <c r="U111" s="160"/>
      <c r="V111" s="160"/>
    </row>
    <row r="112" spans="1:22" s="40" customFormat="1" x14ac:dyDescent="0.35">
      <c r="A112" s="159" t="s">
        <v>679</v>
      </c>
      <c r="B112" s="159"/>
      <c r="C112" s="159"/>
      <c r="D112" s="160"/>
      <c r="E112" s="160"/>
      <c r="F112" s="160"/>
      <c r="G112" s="160"/>
      <c r="H112" s="160"/>
      <c r="I112" s="160"/>
      <c r="J112" s="160"/>
      <c r="K112" s="160"/>
      <c r="L112" s="160"/>
      <c r="M112" s="160"/>
      <c r="N112" s="160"/>
      <c r="O112" s="160"/>
      <c r="P112" s="160"/>
      <c r="Q112" s="160"/>
      <c r="R112" s="160"/>
      <c r="S112" s="160"/>
      <c r="T112" s="160"/>
      <c r="U112" s="160"/>
      <c r="V112" s="160"/>
    </row>
    <row r="113" spans="1:22" s="40" customFormat="1" x14ac:dyDescent="0.35">
      <c r="B113" s="160"/>
      <c r="C113" s="160"/>
      <c r="D113" s="160"/>
      <c r="E113" s="160"/>
      <c r="F113" s="160"/>
      <c r="G113" s="160"/>
      <c r="H113" s="160"/>
      <c r="I113" s="160"/>
      <c r="J113" s="160"/>
      <c r="K113" s="160"/>
      <c r="L113" s="160"/>
      <c r="M113" s="160"/>
      <c r="N113" s="160"/>
      <c r="O113" s="160"/>
      <c r="P113" s="160"/>
      <c r="Q113" s="160"/>
      <c r="R113" s="160"/>
      <c r="S113" s="160"/>
      <c r="T113" s="160"/>
      <c r="U113" s="160"/>
      <c r="V113" s="160"/>
    </row>
    <row r="114" spans="1:22" ht="30" customHeight="1" x14ac:dyDescent="0.35">
      <c r="A114" s="47"/>
      <c r="B114" s="248" t="s">
        <v>254</v>
      </c>
      <c r="C114" s="249"/>
      <c r="D114" s="252" t="s">
        <v>255</v>
      </c>
      <c r="E114" s="245" t="s">
        <v>256</v>
      </c>
      <c r="F114" s="246"/>
      <c r="G114" s="246"/>
      <c r="H114" s="246"/>
      <c r="I114" s="246"/>
      <c r="J114" s="247"/>
      <c r="K114" s="245" t="s">
        <v>257</v>
      </c>
      <c r="L114" s="246"/>
      <c r="M114" s="246"/>
      <c r="N114" s="246"/>
      <c r="O114" s="246"/>
      <c r="P114" s="247"/>
      <c r="Q114" s="245" t="s">
        <v>258</v>
      </c>
      <c r="R114" s="246"/>
      <c r="S114" s="246"/>
      <c r="T114" s="246"/>
      <c r="U114" s="246"/>
      <c r="V114" s="247"/>
    </row>
    <row r="115" spans="1:22" ht="33" x14ac:dyDescent="0.35">
      <c r="A115" s="47"/>
      <c r="B115" s="250"/>
      <c r="C115" s="251"/>
      <c r="D115" s="253"/>
      <c r="E115" s="93">
        <v>2015</v>
      </c>
      <c r="F115" s="93">
        <v>2016</v>
      </c>
      <c r="G115" s="93">
        <v>2017</v>
      </c>
      <c r="H115" s="93">
        <v>2018</v>
      </c>
      <c r="I115" s="93">
        <v>2019</v>
      </c>
      <c r="J115" s="93" t="s">
        <v>259</v>
      </c>
      <c r="K115" s="93">
        <v>2015</v>
      </c>
      <c r="L115" s="93">
        <v>2016</v>
      </c>
      <c r="M115" s="93">
        <v>2017</v>
      </c>
      <c r="N115" s="93">
        <v>2018</v>
      </c>
      <c r="O115" s="93">
        <v>2019</v>
      </c>
      <c r="P115" s="93" t="s">
        <v>259</v>
      </c>
      <c r="Q115" s="93">
        <v>2015</v>
      </c>
      <c r="R115" s="93">
        <v>2016</v>
      </c>
      <c r="S115" s="93">
        <v>2017</v>
      </c>
      <c r="T115" s="93">
        <v>2018</v>
      </c>
      <c r="U115" s="93">
        <v>2019</v>
      </c>
      <c r="V115" s="93" t="s">
        <v>259</v>
      </c>
    </row>
    <row r="116" spans="1:22" s="40" customFormat="1" x14ac:dyDescent="0.35">
      <c r="A116" s="47"/>
      <c r="B116" s="257" t="s">
        <v>102</v>
      </c>
      <c r="C116" s="171" t="s">
        <v>103</v>
      </c>
      <c r="D116" s="172" t="s">
        <v>659</v>
      </c>
      <c r="E116" s="175">
        <v>32</v>
      </c>
      <c r="F116" s="175">
        <v>17</v>
      </c>
      <c r="G116" s="175">
        <v>18</v>
      </c>
      <c r="H116" s="175">
        <v>18</v>
      </c>
      <c r="I116" s="175">
        <v>26</v>
      </c>
      <c r="J116" s="175">
        <f>AVERAGE(E116:I116)</f>
        <v>22.2</v>
      </c>
      <c r="K116" s="163">
        <f t="shared" ref="K116:K140" si="27">IF(E116=0,0,Q116/E116)</f>
        <v>3.125E-2</v>
      </c>
      <c r="L116" s="163">
        <f t="shared" ref="L116:L140" si="28">IF(F116=0,0,R116/F116)</f>
        <v>0</v>
      </c>
      <c r="M116" s="163">
        <f t="shared" ref="M116:M140" si="29">IF(G116=0,0,S116/G116)</f>
        <v>0</v>
      </c>
      <c r="N116" s="163">
        <f t="shared" ref="N116:N140" si="30">IF(H116=0,0,T116/H116)</f>
        <v>5.5555555555555552E-2</v>
      </c>
      <c r="O116" s="163">
        <f t="shared" ref="O116:O140" si="31">IF(I116=0,0,U116/I116)</f>
        <v>0</v>
      </c>
      <c r="P116" s="176">
        <f>IF(SUM(Q116:U116)=0,0,SUM(Q116:U116)/SUM(E116:I116))</f>
        <v>1.8018018018018018E-2</v>
      </c>
      <c r="Q116" s="175">
        <v>1</v>
      </c>
      <c r="R116" s="175">
        <v>0</v>
      </c>
      <c r="S116" s="175">
        <v>0</v>
      </c>
      <c r="T116" s="175">
        <v>1</v>
      </c>
      <c r="U116" s="175">
        <v>0</v>
      </c>
      <c r="V116" s="175">
        <f>AVERAGE(Q116:U116)</f>
        <v>0.4</v>
      </c>
    </row>
    <row r="117" spans="1:22" s="40" customFormat="1" x14ac:dyDescent="0.35">
      <c r="A117" s="47"/>
      <c r="B117" s="258"/>
      <c r="C117" s="171" t="s">
        <v>104</v>
      </c>
      <c r="D117" s="172" t="s">
        <v>659</v>
      </c>
      <c r="E117" s="175">
        <v>1</v>
      </c>
      <c r="F117" s="175">
        <v>0</v>
      </c>
      <c r="G117" s="175">
        <v>0</v>
      </c>
      <c r="H117" s="175">
        <v>1</v>
      </c>
      <c r="I117" s="175">
        <v>0</v>
      </c>
      <c r="J117" s="175">
        <f t="shared" ref="J117:J140" si="32">AVERAGE(E117:I117)</f>
        <v>0.4</v>
      </c>
      <c r="K117" s="163">
        <f t="shared" si="27"/>
        <v>0</v>
      </c>
      <c r="L117" s="163">
        <f t="shared" si="28"/>
        <v>0</v>
      </c>
      <c r="M117" s="163">
        <f t="shared" si="29"/>
        <v>0</v>
      </c>
      <c r="N117" s="163">
        <f t="shared" si="30"/>
        <v>0</v>
      </c>
      <c r="O117" s="163">
        <f t="shared" si="31"/>
        <v>0</v>
      </c>
      <c r="P117" s="176">
        <f t="shared" ref="P117:P140" si="33">IF(SUM(Q117:U117)=0,0,SUM(Q117:U117)/SUM(E117:I117))</f>
        <v>0</v>
      </c>
      <c r="Q117" s="175">
        <v>0</v>
      </c>
      <c r="R117" s="175">
        <v>0</v>
      </c>
      <c r="S117" s="175">
        <v>0</v>
      </c>
      <c r="T117" s="175">
        <v>0</v>
      </c>
      <c r="U117" s="175">
        <v>0</v>
      </c>
      <c r="V117" s="175">
        <f t="shared" ref="V117:V140" si="34">AVERAGE(Q117:U117)</f>
        <v>0</v>
      </c>
    </row>
    <row r="118" spans="1:22" s="40" customFormat="1" x14ac:dyDescent="0.35">
      <c r="A118" s="47"/>
      <c r="B118" s="258"/>
      <c r="C118" s="173" t="s">
        <v>64</v>
      </c>
      <c r="D118" s="172" t="s">
        <v>659</v>
      </c>
      <c r="E118" s="175">
        <v>70</v>
      </c>
      <c r="F118" s="175">
        <v>5</v>
      </c>
      <c r="G118" s="175">
        <v>27</v>
      </c>
      <c r="H118" s="175">
        <v>20</v>
      </c>
      <c r="I118" s="175">
        <v>30</v>
      </c>
      <c r="J118" s="175">
        <f t="shared" si="32"/>
        <v>30.4</v>
      </c>
      <c r="K118" s="163">
        <f t="shared" si="27"/>
        <v>0</v>
      </c>
      <c r="L118" s="163">
        <f t="shared" si="28"/>
        <v>0</v>
      </c>
      <c r="M118" s="163">
        <f t="shared" si="29"/>
        <v>0</v>
      </c>
      <c r="N118" s="163">
        <f t="shared" si="30"/>
        <v>0</v>
      </c>
      <c r="O118" s="163">
        <f t="shared" si="31"/>
        <v>0</v>
      </c>
      <c r="P118" s="176">
        <f t="shared" si="33"/>
        <v>0</v>
      </c>
      <c r="Q118" s="175">
        <v>0</v>
      </c>
      <c r="R118" s="175">
        <v>0</v>
      </c>
      <c r="S118" s="175">
        <v>0</v>
      </c>
      <c r="T118" s="175">
        <v>0</v>
      </c>
      <c r="U118" s="175">
        <v>0</v>
      </c>
      <c r="V118" s="175">
        <f t="shared" si="34"/>
        <v>0</v>
      </c>
    </row>
    <row r="119" spans="1:22" s="40" customFormat="1" x14ac:dyDescent="0.35">
      <c r="A119" s="47"/>
      <c r="B119" s="258"/>
      <c r="C119" s="173" t="s">
        <v>662</v>
      </c>
      <c r="D119" s="172" t="s">
        <v>659</v>
      </c>
      <c r="E119" s="175">
        <v>0</v>
      </c>
      <c r="F119" s="175">
        <v>0</v>
      </c>
      <c r="G119" s="175">
        <v>2</v>
      </c>
      <c r="H119" s="175">
        <v>2</v>
      </c>
      <c r="I119" s="175">
        <v>1</v>
      </c>
      <c r="J119" s="175">
        <f t="shared" si="32"/>
        <v>1</v>
      </c>
      <c r="K119" s="163">
        <f t="shared" si="27"/>
        <v>0</v>
      </c>
      <c r="L119" s="163">
        <f t="shared" si="28"/>
        <v>0</v>
      </c>
      <c r="M119" s="163">
        <f t="shared" si="29"/>
        <v>0</v>
      </c>
      <c r="N119" s="163">
        <f t="shared" si="30"/>
        <v>0</v>
      </c>
      <c r="O119" s="163">
        <f t="shared" si="31"/>
        <v>0</v>
      </c>
      <c r="P119" s="176">
        <f t="shared" si="33"/>
        <v>0</v>
      </c>
      <c r="Q119" s="175">
        <v>0</v>
      </c>
      <c r="R119" s="175">
        <v>0</v>
      </c>
      <c r="S119" s="175">
        <v>0</v>
      </c>
      <c r="T119" s="175">
        <v>0</v>
      </c>
      <c r="U119" s="175">
        <v>0</v>
      </c>
      <c r="V119" s="175">
        <f t="shared" si="34"/>
        <v>0</v>
      </c>
    </row>
    <row r="120" spans="1:22" s="40" customFormat="1" x14ac:dyDescent="0.35">
      <c r="A120" s="47"/>
      <c r="B120" s="258"/>
      <c r="C120" s="171" t="s">
        <v>260</v>
      </c>
      <c r="D120" s="172" t="s">
        <v>659</v>
      </c>
      <c r="E120" s="175">
        <v>23</v>
      </c>
      <c r="F120" s="175">
        <v>14</v>
      </c>
      <c r="G120" s="175">
        <v>16</v>
      </c>
      <c r="H120" s="175">
        <v>20</v>
      </c>
      <c r="I120" s="175">
        <v>33</v>
      </c>
      <c r="J120" s="175">
        <f t="shared" si="32"/>
        <v>21.2</v>
      </c>
      <c r="K120" s="163">
        <f t="shared" si="27"/>
        <v>0</v>
      </c>
      <c r="L120" s="163">
        <f t="shared" si="28"/>
        <v>0</v>
      </c>
      <c r="M120" s="163">
        <f t="shared" si="29"/>
        <v>6.25E-2</v>
      </c>
      <c r="N120" s="163">
        <f t="shared" si="30"/>
        <v>0.05</v>
      </c>
      <c r="O120" s="163">
        <f t="shared" si="31"/>
        <v>3.0303030303030304E-2</v>
      </c>
      <c r="P120" s="176">
        <f t="shared" si="33"/>
        <v>2.8301886792452831E-2</v>
      </c>
      <c r="Q120" s="175">
        <v>0</v>
      </c>
      <c r="R120" s="175">
        <v>0</v>
      </c>
      <c r="S120" s="175">
        <v>1</v>
      </c>
      <c r="T120" s="175">
        <v>1</v>
      </c>
      <c r="U120" s="175">
        <v>1</v>
      </c>
      <c r="V120" s="175">
        <f t="shared" si="34"/>
        <v>0.6</v>
      </c>
    </row>
    <row r="121" spans="1:22" s="40" customFormat="1" x14ac:dyDescent="0.35">
      <c r="A121" s="47"/>
      <c r="B121" s="259"/>
      <c r="C121" s="171" t="s">
        <v>105</v>
      </c>
      <c r="D121" s="172" t="s">
        <v>659</v>
      </c>
      <c r="E121" s="175">
        <v>5</v>
      </c>
      <c r="F121" s="175">
        <v>4</v>
      </c>
      <c r="G121" s="175">
        <v>4</v>
      </c>
      <c r="H121" s="175">
        <v>10</v>
      </c>
      <c r="I121" s="175">
        <v>2</v>
      </c>
      <c r="J121" s="175">
        <f t="shared" si="32"/>
        <v>5</v>
      </c>
      <c r="K121" s="163">
        <f t="shared" si="27"/>
        <v>0</v>
      </c>
      <c r="L121" s="163">
        <f t="shared" si="28"/>
        <v>0</v>
      </c>
      <c r="M121" s="163">
        <f t="shared" si="29"/>
        <v>0</v>
      </c>
      <c r="N121" s="163">
        <f t="shared" si="30"/>
        <v>0.1</v>
      </c>
      <c r="O121" s="163">
        <f t="shared" si="31"/>
        <v>0</v>
      </c>
      <c r="P121" s="176">
        <f t="shared" si="33"/>
        <v>0.04</v>
      </c>
      <c r="Q121" s="175">
        <v>0</v>
      </c>
      <c r="R121" s="175">
        <v>0</v>
      </c>
      <c r="S121" s="175">
        <v>0</v>
      </c>
      <c r="T121" s="175">
        <v>1</v>
      </c>
      <c r="U121" s="175">
        <v>0</v>
      </c>
      <c r="V121" s="175">
        <f t="shared" si="34"/>
        <v>0.2</v>
      </c>
    </row>
    <row r="122" spans="1:22" s="40" customFormat="1" x14ac:dyDescent="0.35">
      <c r="A122" s="47"/>
      <c r="B122" s="260" t="s">
        <v>663</v>
      </c>
      <c r="C122" s="261"/>
      <c r="D122" s="172" t="s">
        <v>659</v>
      </c>
      <c r="E122" s="175">
        <v>3</v>
      </c>
      <c r="F122" s="175">
        <v>1</v>
      </c>
      <c r="G122" s="175">
        <v>1</v>
      </c>
      <c r="H122" s="175">
        <v>5</v>
      </c>
      <c r="I122" s="175">
        <v>1</v>
      </c>
      <c r="J122" s="175">
        <f t="shared" si="32"/>
        <v>2.2000000000000002</v>
      </c>
      <c r="K122" s="163">
        <f t="shared" si="27"/>
        <v>0</v>
      </c>
      <c r="L122" s="163">
        <f t="shared" si="28"/>
        <v>0</v>
      </c>
      <c r="M122" s="163">
        <f t="shared" si="29"/>
        <v>0</v>
      </c>
      <c r="N122" s="163">
        <f t="shared" si="30"/>
        <v>0</v>
      </c>
      <c r="O122" s="163">
        <f t="shared" si="31"/>
        <v>0</v>
      </c>
      <c r="P122" s="176">
        <f t="shared" si="33"/>
        <v>0</v>
      </c>
      <c r="Q122" s="175">
        <v>0</v>
      </c>
      <c r="R122" s="175">
        <v>0</v>
      </c>
      <c r="S122" s="175">
        <v>0</v>
      </c>
      <c r="T122" s="175">
        <v>0</v>
      </c>
      <c r="U122" s="175">
        <v>0</v>
      </c>
      <c r="V122" s="175">
        <f t="shared" si="34"/>
        <v>0</v>
      </c>
    </row>
    <row r="123" spans="1:22" s="40" customFormat="1" x14ac:dyDescent="0.35">
      <c r="A123" s="47"/>
      <c r="B123" s="257" t="s">
        <v>261</v>
      </c>
      <c r="C123" s="171" t="s">
        <v>664</v>
      </c>
      <c r="D123" s="172" t="s">
        <v>659</v>
      </c>
      <c r="E123" s="175">
        <v>9</v>
      </c>
      <c r="F123" s="175">
        <v>7</v>
      </c>
      <c r="G123" s="175">
        <v>8</v>
      </c>
      <c r="H123" s="175">
        <v>3</v>
      </c>
      <c r="I123" s="175">
        <v>7</v>
      </c>
      <c r="J123" s="175">
        <f t="shared" si="32"/>
        <v>6.8</v>
      </c>
      <c r="K123" s="163">
        <f t="shared" si="27"/>
        <v>0</v>
      </c>
      <c r="L123" s="163">
        <f t="shared" si="28"/>
        <v>0</v>
      </c>
      <c r="M123" s="163">
        <f t="shared" si="29"/>
        <v>0.125</v>
      </c>
      <c r="N123" s="163">
        <f t="shared" si="30"/>
        <v>0</v>
      </c>
      <c r="O123" s="163">
        <f t="shared" si="31"/>
        <v>0.14285714285714285</v>
      </c>
      <c r="P123" s="176">
        <f t="shared" si="33"/>
        <v>5.8823529411764705E-2</v>
      </c>
      <c r="Q123" s="175">
        <v>0</v>
      </c>
      <c r="R123" s="175">
        <v>0</v>
      </c>
      <c r="S123" s="175">
        <v>1</v>
      </c>
      <c r="T123" s="175">
        <v>0</v>
      </c>
      <c r="U123" s="175">
        <v>1</v>
      </c>
      <c r="V123" s="175">
        <f t="shared" si="34"/>
        <v>0.4</v>
      </c>
    </row>
    <row r="124" spans="1:22" s="40" customFormat="1" x14ac:dyDescent="0.35">
      <c r="A124" s="47"/>
      <c r="B124" s="258"/>
      <c r="C124" s="171" t="s">
        <v>665</v>
      </c>
      <c r="D124" s="172" t="s">
        <v>659</v>
      </c>
      <c r="E124" s="175">
        <v>1</v>
      </c>
      <c r="F124" s="175">
        <v>2</v>
      </c>
      <c r="G124" s="175">
        <v>0</v>
      </c>
      <c r="H124" s="175">
        <v>0</v>
      </c>
      <c r="I124" s="175">
        <v>1</v>
      </c>
      <c r="J124" s="175">
        <f t="shared" si="32"/>
        <v>0.8</v>
      </c>
      <c r="K124" s="163">
        <f t="shared" si="27"/>
        <v>0</v>
      </c>
      <c r="L124" s="163">
        <f t="shared" si="28"/>
        <v>0</v>
      </c>
      <c r="M124" s="163">
        <f t="shared" si="29"/>
        <v>0</v>
      </c>
      <c r="N124" s="163">
        <f t="shared" si="30"/>
        <v>0</v>
      </c>
      <c r="O124" s="163">
        <f t="shared" si="31"/>
        <v>1</v>
      </c>
      <c r="P124" s="176">
        <f t="shared" si="33"/>
        <v>0.25</v>
      </c>
      <c r="Q124" s="175">
        <v>0</v>
      </c>
      <c r="R124" s="175">
        <v>0</v>
      </c>
      <c r="S124" s="175">
        <v>0</v>
      </c>
      <c r="T124" s="175">
        <v>0</v>
      </c>
      <c r="U124" s="175">
        <v>1</v>
      </c>
      <c r="V124" s="175">
        <f t="shared" si="34"/>
        <v>0.2</v>
      </c>
    </row>
    <row r="125" spans="1:22" s="40" customFormat="1" x14ac:dyDescent="0.35">
      <c r="A125" s="47"/>
      <c r="B125" s="258"/>
      <c r="C125" s="171" t="s">
        <v>666</v>
      </c>
      <c r="D125" s="172" t="s">
        <v>659</v>
      </c>
      <c r="E125" s="175">
        <v>34</v>
      </c>
      <c r="F125" s="175">
        <v>26</v>
      </c>
      <c r="G125" s="175">
        <v>52</v>
      </c>
      <c r="H125" s="175">
        <v>30</v>
      </c>
      <c r="I125" s="175">
        <v>41</v>
      </c>
      <c r="J125" s="175">
        <f t="shared" si="32"/>
        <v>36.6</v>
      </c>
      <c r="K125" s="163">
        <f t="shared" si="27"/>
        <v>0</v>
      </c>
      <c r="L125" s="163">
        <f t="shared" si="28"/>
        <v>0</v>
      </c>
      <c r="M125" s="163">
        <f t="shared" si="29"/>
        <v>1.9230769230769232E-2</v>
      </c>
      <c r="N125" s="163">
        <f t="shared" si="30"/>
        <v>0</v>
      </c>
      <c r="O125" s="163">
        <f t="shared" si="31"/>
        <v>2.4390243902439025E-2</v>
      </c>
      <c r="P125" s="176">
        <f t="shared" si="33"/>
        <v>1.092896174863388E-2</v>
      </c>
      <c r="Q125" s="175">
        <v>0</v>
      </c>
      <c r="R125" s="175">
        <v>0</v>
      </c>
      <c r="S125" s="175">
        <v>1</v>
      </c>
      <c r="T125" s="175">
        <v>0</v>
      </c>
      <c r="U125" s="175">
        <v>1</v>
      </c>
      <c r="V125" s="175">
        <f t="shared" si="34"/>
        <v>0.4</v>
      </c>
    </row>
    <row r="126" spans="1:22" s="40" customFormat="1" x14ac:dyDescent="0.35">
      <c r="A126" s="47"/>
      <c r="B126" s="258"/>
      <c r="C126" s="171" t="s">
        <v>667</v>
      </c>
      <c r="D126" s="172" t="s">
        <v>659</v>
      </c>
      <c r="E126" s="175">
        <v>0</v>
      </c>
      <c r="F126" s="175">
        <v>1</v>
      </c>
      <c r="G126" s="175">
        <v>1</v>
      </c>
      <c r="H126" s="175">
        <v>2</v>
      </c>
      <c r="I126" s="175">
        <v>2</v>
      </c>
      <c r="J126" s="175">
        <f t="shared" si="32"/>
        <v>1.2</v>
      </c>
      <c r="K126" s="163">
        <f t="shared" si="27"/>
        <v>0</v>
      </c>
      <c r="L126" s="163">
        <f t="shared" si="28"/>
        <v>0</v>
      </c>
      <c r="M126" s="163">
        <f t="shared" si="29"/>
        <v>0</v>
      </c>
      <c r="N126" s="163">
        <f t="shared" si="30"/>
        <v>0</v>
      </c>
      <c r="O126" s="163">
        <f t="shared" si="31"/>
        <v>0</v>
      </c>
      <c r="P126" s="176">
        <f t="shared" si="33"/>
        <v>0</v>
      </c>
      <c r="Q126" s="175">
        <v>0</v>
      </c>
      <c r="R126" s="175">
        <v>0</v>
      </c>
      <c r="S126" s="175">
        <v>0</v>
      </c>
      <c r="T126" s="175">
        <v>0</v>
      </c>
      <c r="U126" s="175">
        <v>0</v>
      </c>
      <c r="V126" s="175">
        <f t="shared" si="34"/>
        <v>0</v>
      </c>
    </row>
    <row r="127" spans="1:22" s="40" customFormat="1" x14ac:dyDescent="0.35">
      <c r="A127" s="47"/>
      <c r="B127" s="258"/>
      <c r="C127" s="171" t="s">
        <v>668</v>
      </c>
      <c r="D127" s="172" t="s">
        <v>659</v>
      </c>
      <c r="E127" s="175">
        <v>5</v>
      </c>
      <c r="F127" s="175">
        <v>1</v>
      </c>
      <c r="G127" s="175">
        <v>3</v>
      </c>
      <c r="H127" s="175">
        <v>4</v>
      </c>
      <c r="I127" s="175">
        <v>5</v>
      </c>
      <c r="J127" s="175">
        <f t="shared" si="32"/>
        <v>3.6</v>
      </c>
      <c r="K127" s="163">
        <f t="shared" si="27"/>
        <v>0</v>
      </c>
      <c r="L127" s="163">
        <f t="shared" si="28"/>
        <v>0</v>
      </c>
      <c r="M127" s="163">
        <f t="shared" si="29"/>
        <v>0</v>
      </c>
      <c r="N127" s="163">
        <f t="shared" si="30"/>
        <v>0</v>
      </c>
      <c r="O127" s="163">
        <f t="shared" si="31"/>
        <v>0</v>
      </c>
      <c r="P127" s="176">
        <f t="shared" si="33"/>
        <v>0</v>
      </c>
      <c r="Q127" s="175">
        <v>0</v>
      </c>
      <c r="R127" s="175">
        <v>0</v>
      </c>
      <c r="S127" s="175">
        <v>0</v>
      </c>
      <c r="T127" s="175">
        <v>0</v>
      </c>
      <c r="U127" s="175">
        <v>0</v>
      </c>
      <c r="V127" s="175">
        <f t="shared" si="34"/>
        <v>0</v>
      </c>
    </row>
    <row r="128" spans="1:22" s="40" customFormat="1" x14ac:dyDescent="0.35">
      <c r="A128" s="47"/>
      <c r="B128" s="258"/>
      <c r="C128" s="171" t="s">
        <v>64</v>
      </c>
      <c r="D128" s="172" t="s">
        <v>659</v>
      </c>
      <c r="E128" s="175">
        <v>5</v>
      </c>
      <c r="F128" s="175">
        <v>3</v>
      </c>
      <c r="G128" s="175">
        <v>4</v>
      </c>
      <c r="H128" s="175">
        <v>11</v>
      </c>
      <c r="I128" s="175">
        <v>6</v>
      </c>
      <c r="J128" s="175">
        <f t="shared" si="32"/>
        <v>5.8</v>
      </c>
      <c r="K128" s="163">
        <f t="shared" si="27"/>
        <v>0</v>
      </c>
      <c r="L128" s="163">
        <f t="shared" si="28"/>
        <v>0</v>
      </c>
      <c r="M128" s="163">
        <f t="shared" si="29"/>
        <v>0</v>
      </c>
      <c r="N128" s="163">
        <f t="shared" si="30"/>
        <v>0</v>
      </c>
      <c r="O128" s="163">
        <f t="shared" si="31"/>
        <v>0</v>
      </c>
      <c r="P128" s="176">
        <f t="shared" si="33"/>
        <v>0</v>
      </c>
      <c r="Q128" s="175">
        <v>0</v>
      </c>
      <c r="R128" s="175">
        <v>0</v>
      </c>
      <c r="S128" s="175">
        <v>0</v>
      </c>
      <c r="T128" s="175">
        <v>0</v>
      </c>
      <c r="U128" s="175">
        <v>0</v>
      </c>
      <c r="V128" s="175">
        <f t="shared" si="34"/>
        <v>0</v>
      </c>
    </row>
    <row r="129" spans="1:22" s="40" customFormat="1" x14ac:dyDescent="0.35">
      <c r="A129" s="47"/>
      <c r="B129" s="258"/>
      <c r="C129" s="171" t="s">
        <v>669</v>
      </c>
      <c r="D129" s="172" t="s">
        <v>659</v>
      </c>
      <c r="E129" s="175">
        <v>0</v>
      </c>
      <c r="F129" s="175">
        <v>2</v>
      </c>
      <c r="G129" s="175">
        <v>4</v>
      </c>
      <c r="H129" s="175">
        <v>3</v>
      </c>
      <c r="I129" s="175">
        <v>2</v>
      </c>
      <c r="J129" s="175">
        <f t="shared" si="32"/>
        <v>2.2000000000000002</v>
      </c>
      <c r="K129" s="163">
        <f t="shared" si="27"/>
        <v>0</v>
      </c>
      <c r="L129" s="163">
        <f t="shared" si="28"/>
        <v>0</v>
      </c>
      <c r="M129" s="163">
        <f t="shared" si="29"/>
        <v>0</v>
      </c>
      <c r="N129" s="163">
        <f t="shared" si="30"/>
        <v>0</v>
      </c>
      <c r="O129" s="163">
        <f t="shared" si="31"/>
        <v>0</v>
      </c>
      <c r="P129" s="176">
        <f t="shared" si="33"/>
        <v>0</v>
      </c>
      <c r="Q129" s="175">
        <v>0</v>
      </c>
      <c r="R129" s="175">
        <v>0</v>
      </c>
      <c r="S129" s="175">
        <v>0</v>
      </c>
      <c r="T129" s="175">
        <v>0</v>
      </c>
      <c r="U129" s="175">
        <v>0</v>
      </c>
      <c r="V129" s="175">
        <f t="shared" si="34"/>
        <v>0</v>
      </c>
    </row>
    <row r="130" spans="1:22" s="40" customFormat="1" x14ac:dyDescent="0.35">
      <c r="A130" s="47"/>
      <c r="B130" s="258"/>
      <c r="C130" s="171" t="s">
        <v>670</v>
      </c>
      <c r="D130" s="172" t="s">
        <v>659</v>
      </c>
      <c r="E130" s="175">
        <v>0</v>
      </c>
      <c r="F130" s="175">
        <v>0</v>
      </c>
      <c r="G130" s="175">
        <v>0</v>
      </c>
      <c r="H130" s="175">
        <v>0</v>
      </c>
      <c r="I130" s="175">
        <v>0</v>
      </c>
      <c r="J130" s="175">
        <f t="shared" si="32"/>
        <v>0</v>
      </c>
      <c r="K130" s="163">
        <f t="shared" si="27"/>
        <v>0</v>
      </c>
      <c r="L130" s="163">
        <f t="shared" si="28"/>
        <v>0</v>
      </c>
      <c r="M130" s="163">
        <f t="shared" si="29"/>
        <v>0</v>
      </c>
      <c r="N130" s="163">
        <f t="shared" si="30"/>
        <v>0</v>
      </c>
      <c r="O130" s="163">
        <f t="shared" si="31"/>
        <v>0</v>
      </c>
      <c r="P130" s="176">
        <f t="shared" si="33"/>
        <v>0</v>
      </c>
      <c r="Q130" s="175">
        <v>0</v>
      </c>
      <c r="R130" s="175">
        <v>0</v>
      </c>
      <c r="S130" s="175">
        <v>0</v>
      </c>
      <c r="T130" s="175">
        <v>0</v>
      </c>
      <c r="U130" s="175">
        <v>0</v>
      </c>
      <c r="V130" s="175">
        <f t="shared" si="34"/>
        <v>0</v>
      </c>
    </row>
    <row r="131" spans="1:22" s="40" customFormat="1" x14ac:dyDescent="0.35">
      <c r="A131" s="47"/>
      <c r="B131" s="258"/>
      <c r="C131" s="171" t="s">
        <v>671</v>
      </c>
      <c r="D131" s="172" t="s">
        <v>659</v>
      </c>
      <c r="E131" s="175">
        <v>33</v>
      </c>
      <c r="F131" s="175">
        <v>11</v>
      </c>
      <c r="G131" s="175">
        <v>16</v>
      </c>
      <c r="H131" s="175">
        <v>10</v>
      </c>
      <c r="I131" s="175">
        <v>16</v>
      </c>
      <c r="J131" s="175">
        <f t="shared" si="32"/>
        <v>17.2</v>
      </c>
      <c r="K131" s="163">
        <f t="shared" si="27"/>
        <v>0</v>
      </c>
      <c r="L131" s="163">
        <f t="shared" si="28"/>
        <v>9.0909090909090912E-2</v>
      </c>
      <c r="M131" s="163">
        <f t="shared" si="29"/>
        <v>0</v>
      </c>
      <c r="N131" s="163">
        <f t="shared" si="30"/>
        <v>0</v>
      </c>
      <c r="O131" s="163">
        <f t="shared" si="31"/>
        <v>0</v>
      </c>
      <c r="P131" s="176">
        <f t="shared" si="33"/>
        <v>1.1627906976744186E-2</v>
      </c>
      <c r="Q131" s="175">
        <v>0</v>
      </c>
      <c r="R131" s="175">
        <v>1</v>
      </c>
      <c r="S131" s="175">
        <v>0</v>
      </c>
      <c r="T131" s="175">
        <v>0</v>
      </c>
      <c r="U131" s="175">
        <v>0</v>
      </c>
      <c r="V131" s="175">
        <f t="shared" si="34"/>
        <v>0.2</v>
      </c>
    </row>
    <row r="132" spans="1:22" s="40" customFormat="1" x14ac:dyDescent="0.35">
      <c r="A132" s="47"/>
      <c r="B132" s="258"/>
      <c r="C132" s="171" t="s">
        <v>672</v>
      </c>
      <c r="D132" s="172" t="s">
        <v>659</v>
      </c>
      <c r="E132" s="175">
        <v>0</v>
      </c>
      <c r="F132" s="175">
        <v>0</v>
      </c>
      <c r="G132" s="175">
        <v>1</v>
      </c>
      <c r="H132" s="175">
        <v>0</v>
      </c>
      <c r="I132" s="175">
        <v>0</v>
      </c>
      <c r="J132" s="175">
        <f t="shared" si="32"/>
        <v>0.2</v>
      </c>
      <c r="K132" s="163">
        <f t="shared" si="27"/>
        <v>0</v>
      </c>
      <c r="L132" s="163">
        <f t="shared" si="28"/>
        <v>0</v>
      </c>
      <c r="M132" s="163">
        <f t="shared" si="29"/>
        <v>0</v>
      </c>
      <c r="N132" s="163">
        <f t="shared" si="30"/>
        <v>0</v>
      </c>
      <c r="O132" s="163">
        <f t="shared" si="31"/>
        <v>0</v>
      </c>
      <c r="P132" s="176">
        <f t="shared" si="33"/>
        <v>0</v>
      </c>
      <c r="Q132" s="175">
        <v>0</v>
      </c>
      <c r="R132" s="175">
        <v>0</v>
      </c>
      <c r="S132" s="175">
        <v>0</v>
      </c>
      <c r="T132" s="175">
        <v>0</v>
      </c>
      <c r="U132" s="175">
        <v>0</v>
      </c>
      <c r="V132" s="175">
        <f t="shared" si="34"/>
        <v>0</v>
      </c>
    </row>
    <row r="133" spans="1:22" s="40" customFormat="1" x14ac:dyDescent="0.35">
      <c r="B133" s="258"/>
      <c r="C133" s="171" t="s">
        <v>673</v>
      </c>
      <c r="D133" s="172" t="s">
        <v>659</v>
      </c>
      <c r="E133" s="175">
        <v>31</v>
      </c>
      <c r="F133" s="175">
        <v>10</v>
      </c>
      <c r="G133" s="175">
        <v>26</v>
      </c>
      <c r="H133" s="175">
        <v>17</v>
      </c>
      <c r="I133" s="175">
        <v>18</v>
      </c>
      <c r="J133" s="175">
        <f t="shared" si="32"/>
        <v>20.399999999999999</v>
      </c>
      <c r="K133" s="163">
        <f t="shared" si="27"/>
        <v>0</v>
      </c>
      <c r="L133" s="163">
        <f t="shared" si="28"/>
        <v>0</v>
      </c>
      <c r="M133" s="163">
        <f t="shared" si="29"/>
        <v>3.8461538461538464E-2</v>
      </c>
      <c r="N133" s="163">
        <f t="shared" si="30"/>
        <v>0</v>
      </c>
      <c r="O133" s="163">
        <f t="shared" si="31"/>
        <v>0</v>
      </c>
      <c r="P133" s="176">
        <f t="shared" si="33"/>
        <v>9.8039215686274508E-3</v>
      </c>
      <c r="Q133" s="175">
        <v>0</v>
      </c>
      <c r="R133" s="175">
        <v>0</v>
      </c>
      <c r="S133" s="175">
        <v>1</v>
      </c>
      <c r="T133" s="175">
        <v>0</v>
      </c>
      <c r="U133" s="175">
        <v>0</v>
      </c>
      <c r="V133" s="175">
        <f t="shared" si="34"/>
        <v>0.2</v>
      </c>
    </row>
    <row r="134" spans="1:22" s="40" customFormat="1" x14ac:dyDescent="0.35">
      <c r="B134" s="259"/>
      <c r="C134" s="171" t="s">
        <v>674</v>
      </c>
      <c r="D134" s="172" t="s">
        <v>659</v>
      </c>
      <c r="E134" s="175">
        <v>0</v>
      </c>
      <c r="F134" s="175">
        <v>0</v>
      </c>
      <c r="G134" s="175">
        <v>0</v>
      </c>
      <c r="H134" s="175">
        <v>0</v>
      </c>
      <c r="I134" s="175">
        <v>0</v>
      </c>
      <c r="J134" s="175">
        <f t="shared" si="32"/>
        <v>0</v>
      </c>
      <c r="K134" s="163">
        <f t="shared" si="27"/>
        <v>0</v>
      </c>
      <c r="L134" s="163">
        <f t="shared" si="28"/>
        <v>0</v>
      </c>
      <c r="M134" s="163">
        <f t="shared" si="29"/>
        <v>0</v>
      </c>
      <c r="N134" s="163">
        <f t="shared" si="30"/>
        <v>0</v>
      </c>
      <c r="O134" s="163">
        <f t="shared" si="31"/>
        <v>0</v>
      </c>
      <c r="P134" s="176">
        <f t="shared" si="33"/>
        <v>0</v>
      </c>
      <c r="Q134" s="175">
        <v>0</v>
      </c>
      <c r="R134" s="175">
        <v>0</v>
      </c>
      <c r="S134" s="175">
        <v>0</v>
      </c>
      <c r="T134" s="175">
        <v>0</v>
      </c>
      <c r="U134" s="175">
        <v>0</v>
      </c>
      <c r="V134" s="175">
        <f t="shared" si="34"/>
        <v>0</v>
      </c>
    </row>
    <row r="135" spans="1:22" s="40" customFormat="1" x14ac:dyDescent="0.35">
      <c r="B135" s="260" t="s">
        <v>675</v>
      </c>
      <c r="C135" s="261"/>
      <c r="D135" s="172" t="s">
        <v>659</v>
      </c>
      <c r="E135" s="175">
        <v>22</v>
      </c>
      <c r="F135" s="175">
        <v>1</v>
      </c>
      <c r="G135" s="175">
        <v>1</v>
      </c>
      <c r="H135" s="175">
        <v>6</v>
      </c>
      <c r="I135" s="175">
        <v>7</v>
      </c>
      <c r="J135" s="175">
        <f t="shared" si="32"/>
        <v>7.4</v>
      </c>
      <c r="K135" s="163">
        <f t="shared" si="27"/>
        <v>0</v>
      </c>
      <c r="L135" s="163">
        <f t="shared" si="28"/>
        <v>0</v>
      </c>
      <c r="M135" s="163">
        <f t="shared" si="29"/>
        <v>0</v>
      </c>
      <c r="N135" s="163">
        <f t="shared" si="30"/>
        <v>0</v>
      </c>
      <c r="O135" s="163">
        <f t="shared" si="31"/>
        <v>0</v>
      </c>
      <c r="P135" s="176">
        <f t="shared" si="33"/>
        <v>0</v>
      </c>
      <c r="Q135" s="175">
        <v>0</v>
      </c>
      <c r="R135" s="175">
        <v>0</v>
      </c>
      <c r="S135" s="175">
        <v>0</v>
      </c>
      <c r="T135" s="175">
        <v>0</v>
      </c>
      <c r="U135" s="175">
        <v>0</v>
      </c>
      <c r="V135" s="175">
        <f t="shared" si="34"/>
        <v>0</v>
      </c>
    </row>
    <row r="136" spans="1:22" s="40" customFormat="1" x14ac:dyDescent="0.35">
      <c r="B136" s="260" t="s">
        <v>64</v>
      </c>
      <c r="C136" s="261"/>
      <c r="D136" s="172" t="s">
        <v>659</v>
      </c>
      <c r="E136" s="175">
        <v>6</v>
      </c>
      <c r="F136" s="175">
        <v>4</v>
      </c>
      <c r="G136" s="175">
        <v>3</v>
      </c>
      <c r="H136" s="175">
        <v>15</v>
      </c>
      <c r="I136" s="175">
        <v>13</v>
      </c>
      <c r="J136" s="175">
        <f t="shared" si="32"/>
        <v>8.1999999999999993</v>
      </c>
      <c r="K136" s="163">
        <f t="shared" si="27"/>
        <v>0</v>
      </c>
      <c r="L136" s="163">
        <f t="shared" si="28"/>
        <v>0</v>
      </c>
      <c r="M136" s="163">
        <f t="shared" si="29"/>
        <v>0</v>
      </c>
      <c r="N136" s="163">
        <f t="shared" si="30"/>
        <v>0</v>
      </c>
      <c r="O136" s="163">
        <f t="shared" si="31"/>
        <v>7.6923076923076927E-2</v>
      </c>
      <c r="P136" s="176">
        <f t="shared" si="33"/>
        <v>2.4390243902439025E-2</v>
      </c>
      <c r="Q136" s="175">
        <v>0</v>
      </c>
      <c r="R136" s="175">
        <v>0</v>
      </c>
      <c r="S136" s="175">
        <v>0</v>
      </c>
      <c r="T136" s="175">
        <v>0</v>
      </c>
      <c r="U136" s="175">
        <v>1</v>
      </c>
      <c r="V136" s="175">
        <f t="shared" si="34"/>
        <v>0.2</v>
      </c>
    </row>
    <row r="137" spans="1:22" s="40" customFormat="1" x14ac:dyDescent="0.35">
      <c r="B137" s="260" t="s">
        <v>662</v>
      </c>
      <c r="C137" s="261"/>
      <c r="D137" s="172" t="s">
        <v>659</v>
      </c>
      <c r="E137" s="175">
        <v>39</v>
      </c>
      <c r="F137" s="175">
        <v>28</v>
      </c>
      <c r="G137" s="175">
        <v>23</v>
      </c>
      <c r="H137" s="175">
        <v>27</v>
      </c>
      <c r="I137" s="175">
        <v>33</v>
      </c>
      <c r="J137" s="175">
        <f t="shared" si="32"/>
        <v>30</v>
      </c>
      <c r="K137" s="163">
        <f t="shared" si="27"/>
        <v>0</v>
      </c>
      <c r="L137" s="163">
        <f t="shared" si="28"/>
        <v>0</v>
      </c>
      <c r="M137" s="163">
        <f t="shared" si="29"/>
        <v>0</v>
      </c>
      <c r="N137" s="163">
        <f t="shared" si="30"/>
        <v>0</v>
      </c>
      <c r="O137" s="163">
        <f t="shared" si="31"/>
        <v>0</v>
      </c>
      <c r="P137" s="176">
        <f t="shared" si="33"/>
        <v>0</v>
      </c>
      <c r="Q137" s="175">
        <v>0</v>
      </c>
      <c r="R137" s="175">
        <v>0</v>
      </c>
      <c r="S137" s="175">
        <v>0</v>
      </c>
      <c r="T137" s="175">
        <v>0</v>
      </c>
      <c r="U137" s="175">
        <v>0</v>
      </c>
      <c r="V137" s="175">
        <f t="shared" si="34"/>
        <v>0</v>
      </c>
    </row>
    <row r="138" spans="1:22" s="40" customFormat="1" x14ac:dyDescent="0.35">
      <c r="B138" s="260" t="s">
        <v>676</v>
      </c>
      <c r="C138" s="261"/>
      <c r="D138" s="172" t="s">
        <v>659</v>
      </c>
      <c r="E138" s="175">
        <v>0</v>
      </c>
      <c r="F138" s="175">
        <v>0</v>
      </c>
      <c r="G138" s="175">
        <v>0</v>
      </c>
      <c r="H138" s="175">
        <v>0</v>
      </c>
      <c r="I138" s="175">
        <v>0</v>
      </c>
      <c r="J138" s="175">
        <f t="shared" si="32"/>
        <v>0</v>
      </c>
      <c r="K138" s="163">
        <f t="shared" si="27"/>
        <v>0</v>
      </c>
      <c r="L138" s="163">
        <f t="shared" si="28"/>
        <v>0</v>
      </c>
      <c r="M138" s="163">
        <f t="shared" si="29"/>
        <v>0</v>
      </c>
      <c r="N138" s="163">
        <f t="shared" si="30"/>
        <v>0</v>
      </c>
      <c r="O138" s="163">
        <f t="shared" si="31"/>
        <v>0</v>
      </c>
      <c r="P138" s="176">
        <f t="shared" si="33"/>
        <v>0</v>
      </c>
      <c r="Q138" s="175">
        <v>0</v>
      </c>
      <c r="R138" s="175">
        <v>0</v>
      </c>
      <c r="S138" s="175">
        <v>0</v>
      </c>
      <c r="T138" s="175">
        <v>0</v>
      </c>
      <c r="U138" s="175">
        <v>0</v>
      </c>
      <c r="V138" s="175">
        <f t="shared" si="34"/>
        <v>0</v>
      </c>
    </row>
    <row r="139" spans="1:22" s="40" customFormat="1" x14ac:dyDescent="0.35">
      <c r="B139" s="262" t="s">
        <v>677</v>
      </c>
      <c r="C139" s="262"/>
      <c r="D139" s="172" t="s">
        <v>659</v>
      </c>
      <c r="E139" s="175">
        <v>0</v>
      </c>
      <c r="F139" s="175">
        <v>0</v>
      </c>
      <c r="G139" s="175">
        <v>1</v>
      </c>
      <c r="H139" s="175">
        <v>0</v>
      </c>
      <c r="I139" s="175">
        <v>3</v>
      </c>
      <c r="J139" s="175">
        <f t="shared" si="32"/>
        <v>0.8</v>
      </c>
      <c r="K139" s="163">
        <f t="shared" si="27"/>
        <v>0</v>
      </c>
      <c r="L139" s="163">
        <f t="shared" si="28"/>
        <v>0</v>
      </c>
      <c r="M139" s="163">
        <f t="shared" si="29"/>
        <v>0</v>
      </c>
      <c r="N139" s="163">
        <f t="shared" si="30"/>
        <v>0</v>
      </c>
      <c r="O139" s="163">
        <f t="shared" si="31"/>
        <v>0</v>
      </c>
      <c r="P139" s="176">
        <f t="shared" si="33"/>
        <v>0</v>
      </c>
      <c r="Q139" s="175">
        <v>0</v>
      </c>
      <c r="R139" s="175">
        <v>0</v>
      </c>
      <c r="S139" s="175">
        <v>0</v>
      </c>
      <c r="T139" s="175">
        <v>0</v>
      </c>
      <c r="U139" s="175">
        <v>0</v>
      </c>
      <c r="V139" s="175">
        <f t="shared" si="34"/>
        <v>0</v>
      </c>
    </row>
    <row r="140" spans="1:22" s="40" customFormat="1" x14ac:dyDescent="0.35">
      <c r="B140" s="262" t="s">
        <v>678</v>
      </c>
      <c r="C140" s="262"/>
      <c r="D140" s="172" t="s">
        <v>659</v>
      </c>
      <c r="E140" s="177">
        <v>1</v>
      </c>
      <c r="F140" s="177">
        <v>1</v>
      </c>
      <c r="G140" s="177">
        <v>2</v>
      </c>
      <c r="H140" s="177">
        <v>0</v>
      </c>
      <c r="I140" s="177">
        <v>2</v>
      </c>
      <c r="J140" s="175">
        <f t="shared" si="32"/>
        <v>1.2</v>
      </c>
      <c r="K140" s="163">
        <f t="shared" si="27"/>
        <v>0</v>
      </c>
      <c r="L140" s="163">
        <f t="shared" si="28"/>
        <v>0</v>
      </c>
      <c r="M140" s="163">
        <f t="shared" si="29"/>
        <v>0</v>
      </c>
      <c r="N140" s="163">
        <f t="shared" si="30"/>
        <v>0</v>
      </c>
      <c r="O140" s="163">
        <f t="shared" si="31"/>
        <v>0.5</v>
      </c>
      <c r="P140" s="176">
        <f t="shared" si="33"/>
        <v>0.16666666666666666</v>
      </c>
      <c r="Q140" s="177">
        <v>0</v>
      </c>
      <c r="R140" s="177">
        <v>0</v>
      </c>
      <c r="S140" s="177">
        <v>0</v>
      </c>
      <c r="T140" s="177">
        <v>0</v>
      </c>
      <c r="U140" s="177">
        <v>1</v>
      </c>
      <c r="V140" s="175">
        <f t="shared" si="34"/>
        <v>0.2</v>
      </c>
    </row>
    <row r="141" spans="1:22" s="40" customFormat="1" x14ac:dyDescent="0.35"/>
    <row r="142" spans="1:22" s="40" customFormat="1" x14ac:dyDescent="0.35">
      <c r="B142" s="160"/>
      <c r="C142" s="160"/>
      <c r="D142" s="160"/>
      <c r="E142" s="160"/>
      <c r="F142" s="160"/>
      <c r="G142" s="160"/>
      <c r="H142" s="160"/>
      <c r="I142" s="160"/>
      <c r="J142" s="160"/>
      <c r="K142" s="160"/>
      <c r="L142" s="160"/>
      <c r="M142" s="160"/>
      <c r="N142" s="160"/>
      <c r="O142" s="160"/>
      <c r="P142" s="160"/>
      <c r="Q142" s="160"/>
      <c r="R142" s="160"/>
      <c r="S142" s="160"/>
      <c r="T142" s="160"/>
      <c r="U142" s="160"/>
      <c r="V142" s="160"/>
    </row>
    <row r="143" spans="1:22" s="40" customFormat="1" x14ac:dyDescent="0.35">
      <c r="B143" s="160"/>
      <c r="C143" s="160"/>
      <c r="D143" s="160"/>
      <c r="E143" s="160"/>
      <c r="F143" s="160"/>
      <c r="G143" s="160"/>
      <c r="H143" s="160"/>
      <c r="I143" s="160"/>
      <c r="J143" s="160"/>
      <c r="K143" s="160"/>
      <c r="L143" s="160"/>
      <c r="M143" s="160"/>
      <c r="N143" s="160"/>
      <c r="O143" s="160"/>
      <c r="P143" s="160"/>
      <c r="Q143" s="160"/>
      <c r="R143" s="160"/>
      <c r="S143" s="160"/>
      <c r="T143" s="160"/>
      <c r="U143" s="160"/>
      <c r="V143" s="160"/>
    </row>
    <row r="144" spans="1:22" s="40" customFormat="1" x14ac:dyDescent="0.35">
      <c r="B144" s="160"/>
      <c r="C144" s="160"/>
      <c r="D144" s="160"/>
      <c r="E144" s="160"/>
      <c r="F144" s="160"/>
      <c r="G144" s="160"/>
      <c r="H144" s="160"/>
      <c r="I144" s="160"/>
      <c r="J144" s="160"/>
      <c r="K144" s="160"/>
      <c r="L144" s="160"/>
      <c r="M144" s="160"/>
      <c r="N144" s="160"/>
      <c r="O144" s="160"/>
      <c r="P144" s="160"/>
      <c r="Q144" s="160"/>
      <c r="R144" s="160"/>
      <c r="S144" s="160"/>
      <c r="T144" s="160"/>
      <c r="U144" s="160"/>
      <c r="V144" s="160"/>
    </row>
    <row r="145" spans="2:22" s="40" customFormat="1" x14ac:dyDescent="0.35">
      <c r="B145" s="160"/>
      <c r="C145" s="160"/>
      <c r="D145" s="160"/>
      <c r="E145" s="160"/>
      <c r="F145" s="160"/>
      <c r="G145" s="160"/>
      <c r="H145" s="160"/>
      <c r="I145" s="160"/>
      <c r="J145" s="160"/>
      <c r="K145" s="160"/>
      <c r="L145" s="160"/>
      <c r="M145" s="160"/>
      <c r="N145" s="160"/>
      <c r="O145" s="160"/>
      <c r="P145" s="160"/>
      <c r="Q145" s="160"/>
      <c r="R145" s="160"/>
      <c r="S145" s="160"/>
      <c r="T145" s="160"/>
      <c r="U145" s="160"/>
      <c r="V145" s="160"/>
    </row>
    <row r="146" spans="2:22" s="40" customFormat="1" x14ac:dyDescent="0.35">
      <c r="B146" s="160"/>
      <c r="C146" s="160"/>
      <c r="D146" s="160"/>
      <c r="E146" s="160"/>
      <c r="F146" s="160"/>
      <c r="G146" s="160"/>
      <c r="H146" s="160"/>
      <c r="I146" s="160"/>
      <c r="J146" s="160"/>
      <c r="K146" s="160"/>
      <c r="L146" s="160"/>
      <c r="M146" s="160"/>
      <c r="N146" s="160"/>
      <c r="O146" s="160"/>
      <c r="P146" s="160"/>
      <c r="Q146" s="160"/>
      <c r="R146" s="160"/>
      <c r="S146" s="160"/>
      <c r="T146" s="160"/>
      <c r="U146" s="160"/>
      <c r="V146" s="160"/>
    </row>
    <row r="147" spans="2:22" s="40" customFormat="1" x14ac:dyDescent="0.35">
      <c r="B147" s="160"/>
      <c r="C147" s="160"/>
      <c r="D147" s="160"/>
      <c r="E147" s="160"/>
      <c r="F147" s="160"/>
      <c r="G147" s="160"/>
      <c r="H147" s="160"/>
      <c r="I147" s="160"/>
      <c r="J147" s="160"/>
      <c r="K147" s="160"/>
      <c r="L147" s="160"/>
      <c r="M147" s="160"/>
      <c r="N147" s="160"/>
      <c r="O147" s="160"/>
      <c r="P147" s="160"/>
      <c r="Q147" s="160"/>
      <c r="R147" s="160"/>
      <c r="S147" s="160"/>
      <c r="T147" s="160"/>
      <c r="U147" s="160"/>
      <c r="V147" s="160"/>
    </row>
    <row r="148" spans="2:22" s="40" customFormat="1" x14ac:dyDescent="0.35">
      <c r="B148" s="160"/>
      <c r="C148" s="160"/>
      <c r="D148" s="160"/>
      <c r="E148" s="160"/>
      <c r="F148" s="160"/>
      <c r="G148" s="160"/>
      <c r="H148" s="160"/>
      <c r="I148" s="160"/>
      <c r="J148" s="160"/>
      <c r="K148" s="160"/>
      <c r="L148" s="160"/>
      <c r="M148" s="160"/>
      <c r="N148" s="160"/>
      <c r="O148" s="160"/>
      <c r="P148" s="160"/>
      <c r="Q148" s="160"/>
      <c r="R148" s="160"/>
      <c r="S148" s="160"/>
      <c r="T148" s="160"/>
      <c r="U148" s="160"/>
      <c r="V148" s="160"/>
    </row>
    <row r="149" spans="2:22" s="40" customFormat="1" x14ac:dyDescent="0.35">
      <c r="B149" s="160"/>
      <c r="C149" s="160"/>
      <c r="D149" s="160"/>
      <c r="E149" s="160"/>
      <c r="F149" s="160"/>
      <c r="G149" s="160"/>
      <c r="H149" s="160"/>
      <c r="I149" s="160"/>
      <c r="J149" s="160"/>
      <c r="K149" s="160"/>
      <c r="L149" s="160"/>
      <c r="M149" s="160"/>
      <c r="N149" s="160"/>
      <c r="O149" s="160"/>
      <c r="P149" s="160"/>
      <c r="Q149" s="160"/>
      <c r="R149" s="160"/>
      <c r="S149" s="160"/>
      <c r="T149" s="160"/>
      <c r="U149" s="160"/>
      <c r="V149" s="160"/>
    </row>
    <row r="150" spans="2:22" s="40" customFormat="1" x14ac:dyDescent="0.35">
      <c r="B150" s="160"/>
      <c r="C150" s="160"/>
      <c r="D150" s="160"/>
      <c r="E150" s="160"/>
      <c r="F150" s="160"/>
      <c r="G150" s="160"/>
      <c r="H150" s="160"/>
      <c r="I150" s="160"/>
      <c r="J150" s="160"/>
      <c r="K150" s="160"/>
      <c r="L150" s="160"/>
      <c r="M150" s="160"/>
      <c r="N150" s="160"/>
      <c r="O150" s="160"/>
      <c r="P150" s="160"/>
      <c r="Q150" s="160"/>
      <c r="R150" s="160"/>
      <c r="S150" s="160"/>
      <c r="T150" s="160"/>
      <c r="U150" s="160"/>
      <c r="V150" s="160"/>
    </row>
    <row r="151" spans="2:22" s="40" customFormat="1" x14ac:dyDescent="0.35">
      <c r="B151" s="160"/>
      <c r="C151" s="160"/>
      <c r="D151" s="160"/>
      <c r="E151" s="160"/>
      <c r="F151" s="160"/>
      <c r="G151" s="160"/>
      <c r="H151" s="160"/>
      <c r="I151" s="160"/>
      <c r="J151" s="160"/>
      <c r="K151" s="160"/>
      <c r="L151" s="160"/>
      <c r="M151" s="160"/>
      <c r="N151" s="160"/>
      <c r="O151" s="160"/>
      <c r="P151" s="160"/>
      <c r="Q151" s="160"/>
      <c r="R151" s="160"/>
      <c r="S151" s="160"/>
      <c r="T151" s="160"/>
      <c r="U151" s="160"/>
      <c r="V151" s="160"/>
    </row>
    <row r="152" spans="2:22" s="40" customFormat="1" x14ac:dyDescent="0.35">
      <c r="B152" s="160"/>
      <c r="C152" s="160"/>
      <c r="D152" s="160"/>
      <c r="E152" s="160"/>
      <c r="F152" s="160"/>
      <c r="G152" s="160"/>
      <c r="H152" s="160"/>
      <c r="I152" s="160"/>
      <c r="J152" s="160"/>
      <c r="K152" s="160"/>
      <c r="L152" s="160"/>
      <c r="M152" s="160"/>
      <c r="N152" s="160"/>
      <c r="O152" s="160"/>
      <c r="P152" s="160"/>
      <c r="Q152" s="160"/>
      <c r="R152" s="160"/>
      <c r="S152" s="160"/>
      <c r="T152" s="160"/>
      <c r="U152" s="160"/>
      <c r="V152" s="160"/>
    </row>
    <row r="153" spans="2:22" s="40" customFormat="1" x14ac:dyDescent="0.35">
      <c r="B153" s="160"/>
      <c r="C153" s="160"/>
      <c r="D153" s="160"/>
      <c r="E153" s="160"/>
      <c r="F153" s="160"/>
      <c r="G153" s="160"/>
      <c r="H153" s="160"/>
      <c r="I153" s="160"/>
      <c r="J153" s="160"/>
      <c r="K153" s="160"/>
      <c r="L153" s="160"/>
      <c r="M153" s="160"/>
      <c r="N153" s="160"/>
      <c r="O153" s="160"/>
      <c r="P153" s="160"/>
      <c r="Q153" s="160"/>
      <c r="R153" s="160"/>
      <c r="S153" s="160"/>
      <c r="T153" s="160"/>
      <c r="U153" s="160"/>
      <c r="V153" s="160"/>
    </row>
    <row r="154" spans="2:22" s="40" customFormat="1" x14ac:dyDescent="0.35">
      <c r="B154" s="160"/>
      <c r="C154" s="160"/>
      <c r="D154" s="160"/>
      <c r="E154" s="160"/>
      <c r="F154" s="160"/>
      <c r="G154" s="160"/>
      <c r="H154" s="160"/>
      <c r="I154" s="160"/>
      <c r="J154" s="160"/>
      <c r="K154" s="160"/>
      <c r="L154" s="160"/>
      <c r="M154" s="160"/>
      <c r="N154" s="160"/>
      <c r="O154" s="160"/>
      <c r="P154" s="160"/>
      <c r="Q154" s="160"/>
      <c r="R154" s="160"/>
      <c r="S154" s="160"/>
      <c r="T154" s="160"/>
      <c r="U154" s="160"/>
      <c r="V154" s="160"/>
    </row>
    <row r="155" spans="2:22" s="40" customFormat="1" x14ac:dyDescent="0.35">
      <c r="B155" s="160"/>
      <c r="C155" s="160"/>
      <c r="D155" s="160"/>
      <c r="E155" s="160"/>
      <c r="F155" s="160"/>
      <c r="G155" s="160"/>
      <c r="H155" s="160"/>
      <c r="I155" s="160"/>
      <c r="J155" s="160"/>
      <c r="K155" s="160"/>
      <c r="L155" s="160"/>
      <c r="M155" s="160"/>
      <c r="N155" s="160"/>
      <c r="O155" s="160"/>
      <c r="P155" s="160"/>
      <c r="Q155" s="160"/>
      <c r="R155" s="160"/>
      <c r="S155" s="160"/>
      <c r="T155" s="160"/>
      <c r="U155" s="160"/>
      <c r="V155" s="160"/>
    </row>
    <row r="156" spans="2:22" s="40" customFormat="1" x14ac:dyDescent="0.35">
      <c r="B156" s="160"/>
      <c r="C156" s="160"/>
      <c r="D156" s="160"/>
      <c r="E156" s="160"/>
      <c r="F156" s="160"/>
      <c r="G156" s="160"/>
      <c r="H156" s="160"/>
      <c r="I156" s="160"/>
      <c r="J156" s="160"/>
      <c r="K156" s="160"/>
      <c r="L156" s="160"/>
      <c r="M156" s="160"/>
      <c r="N156" s="160"/>
      <c r="O156" s="160"/>
      <c r="P156" s="160"/>
      <c r="Q156" s="160"/>
      <c r="R156" s="160"/>
      <c r="S156" s="160"/>
      <c r="T156" s="160"/>
      <c r="U156" s="160"/>
      <c r="V156" s="160"/>
    </row>
    <row r="157" spans="2:22" s="40" customFormat="1" x14ac:dyDescent="0.35">
      <c r="B157" s="160"/>
      <c r="C157" s="160"/>
      <c r="D157" s="160"/>
      <c r="E157" s="160"/>
      <c r="F157" s="160"/>
      <c r="G157" s="160"/>
      <c r="H157" s="160"/>
      <c r="I157" s="160"/>
      <c r="J157" s="160"/>
      <c r="K157" s="160"/>
      <c r="L157" s="160"/>
      <c r="M157" s="160"/>
      <c r="N157" s="160"/>
      <c r="O157" s="160"/>
      <c r="P157" s="160"/>
      <c r="Q157" s="160"/>
      <c r="R157" s="160"/>
      <c r="S157" s="160"/>
      <c r="T157" s="160"/>
      <c r="U157" s="160"/>
      <c r="V157" s="160"/>
    </row>
    <row r="158" spans="2:22" s="40" customFormat="1" x14ac:dyDescent="0.35">
      <c r="B158" s="160"/>
      <c r="C158" s="160"/>
      <c r="D158" s="160"/>
      <c r="E158" s="160"/>
      <c r="F158" s="160"/>
      <c r="G158" s="160"/>
      <c r="H158" s="160"/>
      <c r="I158" s="160"/>
      <c r="J158" s="160"/>
      <c r="K158" s="160"/>
      <c r="L158" s="160"/>
      <c r="M158" s="160"/>
      <c r="N158" s="160"/>
      <c r="O158" s="160"/>
      <c r="P158" s="160"/>
      <c r="Q158" s="160"/>
      <c r="R158" s="160"/>
      <c r="S158" s="160"/>
      <c r="T158" s="160"/>
      <c r="U158" s="160"/>
      <c r="V158" s="160"/>
    </row>
    <row r="159" spans="2:22" s="40" customFormat="1" x14ac:dyDescent="0.35">
      <c r="B159" s="160"/>
      <c r="C159" s="160"/>
      <c r="D159" s="160"/>
      <c r="E159" s="160"/>
      <c r="F159" s="160"/>
      <c r="G159" s="160"/>
      <c r="H159" s="160"/>
      <c r="I159" s="160"/>
      <c r="J159" s="160"/>
      <c r="K159" s="160"/>
      <c r="L159" s="160"/>
      <c r="M159" s="160"/>
      <c r="N159" s="160"/>
      <c r="O159" s="160"/>
      <c r="P159" s="160"/>
      <c r="Q159" s="160"/>
      <c r="R159" s="160"/>
      <c r="S159" s="160"/>
      <c r="T159" s="160"/>
      <c r="U159" s="160"/>
      <c r="V159" s="160"/>
    </row>
    <row r="160" spans="2:22" s="40" customFormat="1" x14ac:dyDescent="0.35">
      <c r="B160" s="160"/>
      <c r="C160" s="160"/>
      <c r="D160" s="160"/>
      <c r="E160" s="160"/>
      <c r="F160" s="160"/>
      <c r="G160" s="160"/>
      <c r="H160" s="160"/>
      <c r="I160" s="160"/>
      <c r="J160" s="160"/>
      <c r="K160" s="160"/>
      <c r="L160" s="160"/>
      <c r="M160" s="160"/>
      <c r="N160" s="160"/>
      <c r="O160" s="160"/>
      <c r="P160" s="160"/>
      <c r="Q160" s="160"/>
      <c r="R160" s="160"/>
      <c r="S160" s="160"/>
      <c r="T160" s="160"/>
      <c r="U160" s="160"/>
      <c r="V160" s="160"/>
    </row>
    <row r="161" spans="2:22" s="40" customFormat="1" x14ac:dyDescent="0.35">
      <c r="B161" s="160"/>
      <c r="C161" s="160"/>
      <c r="D161" s="160"/>
      <c r="E161" s="160"/>
      <c r="F161" s="160"/>
      <c r="G161" s="160"/>
      <c r="H161" s="160"/>
      <c r="I161" s="160"/>
      <c r="J161" s="160"/>
      <c r="K161" s="160"/>
      <c r="L161" s="160"/>
      <c r="M161" s="160"/>
      <c r="N161" s="160"/>
      <c r="O161" s="160"/>
      <c r="P161" s="160"/>
      <c r="Q161" s="160"/>
      <c r="R161" s="160"/>
      <c r="S161" s="160"/>
      <c r="T161" s="160"/>
      <c r="U161" s="160"/>
      <c r="V161" s="160"/>
    </row>
    <row r="162" spans="2:22" s="40" customFormat="1" x14ac:dyDescent="0.35">
      <c r="B162" s="160"/>
      <c r="C162" s="160"/>
      <c r="D162" s="160"/>
      <c r="E162" s="160"/>
      <c r="F162" s="160"/>
      <c r="G162" s="160"/>
      <c r="H162" s="160"/>
      <c r="I162" s="160"/>
      <c r="J162" s="160"/>
      <c r="K162" s="160"/>
      <c r="L162" s="160"/>
      <c r="M162" s="160"/>
      <c r="N162" s="160"/>
      <c r="O162" s="160"/>
      <c r="P162" s="160"/>
      <c r="Q162" s="160"/>
      <c r="R162" s="160"/>
      <c r="S162" s="160"/>
      <c r="T162" s="160"/>
      <c r="U162" s="160"/>
      <c r="V162" s="160"/>
    </row>
    <row r="163" spans="2:22" s="40" customFormat="1" x14ac:dyDescent="0.35">
      <c r="B163" s="160"/>
      <c r="C163" s="160"/>
      <c r="D163" s="160"/>
      <c r="E163" s="160"/>
      <c r="F163" s="160"/>
      <c r="G163" s="160"/>
      <c r="H163" s="160"/>
      <c r="I163" s="160"/>
      <c r="J163" s="160"/>
      <c r="K163" s="160"/>
      <c r="L163" s="160"/>
      <c r="M163" s="160"/>
      <c r="N163" s="160"/>
      <c r="O163" s="160"/>
      <c r="P163" s="160"/>
      <c r="Q163" s="160"/>
      <c r="R163" s="160"/>
      <c r="S163" s="160"/>
      <c r="T163" s="160"/>
      <c r="U163" s="160"/>
      <c r="V163" s="160"/>
    </row>
    <row r="164" spans="2:22" s="40" customFormat="1" x14ac:dyDescent="0.35">
      <c r="B164" s="160"/>
      <c r="C164" s="160"/>
      <c r="D164" s="160"/>
      <c r="E164" s="160"/>
      <c r="F164" s="160"/>
      <c r="G164" s="160"/>
      <c r="H164" s="160"/>
      <c r="I164" s="160"/>
      <c r="J164" s="160"/>
      <c r="K164" s="160"/>
      <c r="L164" s="160"/>
      <c r="M164" s="160"/>
      <c r="N164" s="160"/>
      <c r="O164" s="160"/>
      <c r="P164" s="160"/>
      <c r="Q164" s="160"/>
      <c r="R164" s="160"/>
      <c r="S164" s="160"/>
      <c r="T164" s="160"/>
      <c r="U164" s="160"/>
      <c r="V164" s="160"/>
    </row>
    <row r="165" spans="2:22" s="40" customFormat="1" x14ac:dyDescent="0.35">
      <c r="B165" s="160"/>
      <c r="C165" s="160"/>
      <c r="D165" s="160"/>
      <c r="E165" s="160"/>
      <c r="F165" s="160"/>
      <c r="G165" s="160"/>
      <c r="H165" s="160"/>
      <c r="I165" s="160"/>
      <c r="J165" s="160"/>
      <c r="K165" s="160"/>
      <c r="L165" s="160"/>
      <c r="M165" s="160"/>
      <c r="N165" s="160"/>
      <c r="O165" s="160"/>
      <c r="P165" s="160"/>
      <c r="Q165" s="160"/>
      <c r="R165" s="160"/>
      <c r="S165" s="160"/>
      <c r="T165" s="160"/>
      <c r="U165" s="160"/>
      <c r="V165" s="160"/>
    </row>
    <row r="166" spans="2:22" s="40" customFormat="1" x14ac:dyDescent="0.35">
      <c r="B166" s="160"/>
      <c r="C166" s="160"/>
      <c r="D166" s="160"/>
      <c r="E166" s="160"/>
      <c r="F166" s="160"/>
      <c r="G166" s="160"/>
      <c r="H166" s="160"/>
      <c r="I166" s="160"/>
      <c r="J166" s="160"/>
      <c r="K166" s="160"/>
      <c r="L166" s="160"/>
      <c r="M166" s="160"/>
      <c r="N166" s="160"/>
      <c r="O166" s="160"/>
      <c r="P166" s="160"/>
      <c r="Q166" s="160"/>
      <c r="R166" s="160"/>
      <c r="S166" s="160"/>
      <c r="T166" s="160"/>
      <c r="U166" s="160"/>
      <c r="V166" s="160"/>
    </row>
    <row r="167" spans="2:22" s="40" customFormat="1" x14ac:dyDescent="0.35">
      <c r="B167" s="160"/>
      <c r="C167" s="160"/>
      <c r="D167" s="160"/>
      <c r="E167" s="160"/>
      <c r="F167" s="160"/>
      <c r="G167" s="160"/>
      <c r="H167" s="160"/>
      <c r="I167" s="160"/>
      <c r="J167" s="160"/>
      <c r="K167" s="160"/>
      <c r="L167" s="160"/>
      <c r="M167" s="160"/>
      <c r="N167" s="160"/>
      <c r="O167" s="160"/>
      <c r="P167" s="160"/>
      <c r="Q167" s="160"/>
      <c r="R167" s="160"/>
      <c r="S167" s="160"/>
      <c r="T167" s="160"/>
      <c r="U167" s="160"/>
      <c r="V167" s="160"/>
    </row>
    <row r="168" spans="2:22" s="40" customFormat="1" x14ac:dyDescent="0.35">
      <c r="B168" s="160"/>
      <c r="C168" s="160"/>
      <c r="D168" s="160"/>
      <c r="E168" s="160"/>
      <c r="F168" s="160"/>
      <c r="G168" s="160"/>
      <c r="H168" s="160"/>
      <c r="I168" s="160"/>
      <c r="J168" s="160"/>
      <c r="K168" s="160"/>
      <c r="L168" s="160"/>
      <c r="M168" s="160"/>
      <c r="N168" s="160"/>
      <c r="O168" s="160"/>
      <c r="P168" s="160"/>
      <c r="Q168" s="160"/>
      <c r="R168" s="160"/>
      <c r="S168" s="160"/>
      <c r="T168" s="160"/>
      <c r="U168" s="160"/>
      <c r="V168" s="160"/>
    </row>
    <row r="169" spans="2:22" s="40" customFormat="1" x14ac:dyDescent="0.35">
      <c r="B169" s="160"/>
      <c r="C169" s="160"/>
      <c r="D169" s="160"/>
      <c r="E169" s="160"/>
      <c r="F169" s="160"/>
      <c r="G169" s="160"/>
      <c r="H169" s="160"/>
      <c r="I169" s="160"/>
      <c r="J169" s="160"/>
      <c r="K169" s="160"/>
      <c r="L169" s="160"/>
      <c r="M169" s="160"/>
      <c r="N169" s="160"/>
      <c r="O169" s="160"/>
      <c r="P169" s="160"/>
      <c r="Q169" s="160"/>
      <c r="R169" s="160"/>
      <c r="S169" s="160"/>
      <c r="T169" s="160"/>
      <c r="U169" s="160"/>
      <c r="V169" s="160"/>
    </row>
    <row r="170" spans="2:22" s="40" customFormat="1" x14ac:dyDescent="0.35">
      <c r="B170" s="160"/>
      <c r="C170" s="160"/>
      <c r="D170" s="160"/>
      <c r="E170" s="160"/>
      <c r="F170" s="160"/>
      <c r="G170" s="160"/>
      <c r="H170" s="160"/>
      <c r="I170" s="160"/>
      <c r="J170" s="160"/>
      <c r="K170" s="160"/>
      <c r="L170" s="160"/>
      <c r="M170" s="160"/>
      <c r="N170" s="160"/>
      <c r="O170" s="160"/>
      <c r="P170" s="160"/>
      <c r="Q170" s="160"/>
      <c r="R170" s="160"/>
      <c r="S170" s="160"/>
      <c r="T170" s="160"/>
      <c r="U170" s="160"/>
      <c r="V170" s="160"/>
    </row>
    <row r="171" spans="2:22" s="40" customFormat="1" x14ac:dyDescent="0.35">
      <c r="B171" s="160"/>
      <c r="C171" s="160"/>
      <c r="D171" s="160"/>
      <c r="E171" s="160"/>
      <c r="F171" s="160"/>
      <c r="G171" s="160"/>
      <c r="H171" s="160"/>
      <c r="I171" s="160"/>
      <c r="J171" s="160"/>
      <c r="K171" s="160"/>
      <c r="L171" s="160"/>
      <c r="M171" s="160"/>
      <c r="N171" s="160"/>
      <c r="O171" s="160"/>
      <c r="P171" s="160"/>
      <c r="Q171" s="160"/>
      <c r="R171" s="160"/>
      <c r="S171" s="160"/>
      <c r="T171" s="160"/>
      <c r="U171" s="160"/>
      <c r="V171" s="160"/>
    </row>
    <row r="172" spans="2:22" s="40" customFormat="1" x14ac:dyDescent="0.35">
      <c r="B172" s="160"/>
      <c r="C172" s="160"/>
      <c r="D172" s="160"/>
      <c r="E172" s="160"/>
      <c r="F172" s="160"/>
      <c r="G172" s="160"/>
      <c r="H172" s="160"/>
      <c r="I172" s="160"/>
      <c r="J172" s="160"/>
      <c r="K172" s="160"/>
      <c r="L172" s="160"/>
      <c r="M172" s="160"/>
      <c r="N172" s="160"/>
      <c r="O172" s="160"/>
      <c r="P172" s="160"/>
      <c r="Q172" s="160"/>
      <c r="R172" s="160"/>
      <c r="S172" s="160"/>
      <c r="T172" s="160"/>
      <c r="U172" s="160"/>
      <c r="V172" s="160"/>
    </row>
    <row r="173" spans="2:22" s="40" customFormat="1" x14ac:dyDescent="0.35">
      <c r="B173" s="160"/>
      <c r="C173" s="160"/>
      <c r="D173" s="160"/>
      <c r="E173" s="160"/>
      <c r="F173" s="160"/>
      <c r="G173" s="160"/>
      <c r="H173" s="160"/>
      <c r="I173" s="160"/>
      <c r="J173" s="160"/>
      <c r="K173" s="160"/>
      <c r="L173" s="160"/>
      <c r="M173" s="160"/>
      <c r="N173" s="160"/>
      <c r="O173" s="160"/>
      <c r="P173" s="160"/>
      <c r="Q173" s="160"/>
      <c r="R173" s="160"/>
      <c r="S173" s="160"/>
      <c r="T173" s="160"/>
      <c r="U173" s="160"/>
      <c r="V173" s="160"/>
    </row>
    <row r="174" spans="2:22" s="40" customFormat="1" x14ac:dyDescent="0.35">
      <c r="B174" s="160"/>
      <c r="C174" s="160"/>
      <c r="D174" s="160"/>
      <c r="E174" s="160"/>
      <c r="F174" s="160"/>
      <c r="G174" s="160"/>
      <c r="H174" s="160"/>
      <c r="I174" s="160"/>
      <c r="J174" s="160"/>
      <c r="K174" s="160"/>
      <c r="L174" s="160"/>
      <c r="M174" s="160"/>
      <c r="N174" s="160"/>
      <c r="O174" s="160"/>
      <c r="P174" s="160"/>
      <c r="Q174" s="160"/>
      <c r="R174" s="160"/>
      <c r="S174" s="160"/>
      <c r="T174" s="160"/>
      <c r="U174" s="160"/>
      <c r="V174" s="160"/>
    </row>
    <row r="175" spans="2:22" s="40" customFormat="1" x14ac:dyDescent="0.35">
      <c r="B175" s="160"/>
      <c r="C175" s="160"/>
      <c r="D175" s="160"/>
      <c r="E175" s="160"/>
      <c r="F175" s="160"/>
      <c r="G175" s="160"/>
      <c r="H175" s="160"/>
      <c r="I175" s="160"/>
      <c r="J175" s="160"/>
      <c r="K175" s="160"/>
      <c r="L175" s="160"/>
      <c r="M175" s="160"/>
      <c r="N175" s="160"/>
      <c r="O175" s="160"/>
      <c r="P175" s="160"/>
      <c r="Q175" s="160"/>
      <c r="R175" s="160"/>
      <c r="S175" s="160"/>
      <c r="T175" s="160"/>
      <c r="U175" s="160"/>
      <c r="V175" s="160"/>
    </row>
    <row r="176" spans="2:22" s="40" customFormat="1" x14ac:dyDescent="0.35">
      <c r="B176" s="160"/>
      <c r="C176" s="160"/>
      <c r="D176" s="160"/>
      <c r="E176" s="160"/>
      <c r="F176" s="160"/>
      <c r="G176" s="160"/>
      <c r="H176" s="160"/>
      <c r="I176" s="160"/>
      <c r="J176" s="160"/>
      <c r="K176" s="160"/>
      <c r="L176" s="160"/>
      <c r="M176" s="160"/>
      <c r="N176" s="160"/>
      <c r="O176" s="160"/>
      <c r="P176" s="160"/>
      <c r="Q176" s="160"/>
      <c r="R176" s="160"/>
      <c r="S176" s="160"/>
      <c r="T176" s="160"/>
      <c r="U176" s="160"/>
      <c r="V176" s="160"/>
    </row>
    <row r="177" spans="2:22" s="40" customFormat="1" x14ac:dyDescent="0.35">
      <c r="B177" s="160"/>
      <c r="C177" s="160"/>
      <c r="D177" s="160"/>
      <c r="E177" s="160"/>
      <c r="F177" s="160"/>
      <c r="G177" s="160"/>
      <c r="H177" s="160"/>
      <c r="I177" s="160"/>
      <c r="J177" s="160"/>
      <c r="K177" s="160"/>
      <c r="L177" s="160"/>
      <c r="M177" s="160"/>
      <c r="N177" s="160"/>
      <c r="O177" s="160"/>
      <c r="P177" s="160"/>
      <c r="Q177" s="160"/>
      <c r="R177" s="160"/>
      <c r="S177" s="160"/>
      <c r="T177" s="160"/>
      <c r="U177" s="160"/>
      <c r="V177" s="160"/>
    </row>
    <row r="178" spans="2:22" s="40" customFormat="1" x14ac:dyDescent="0.35">
      <c r="B178" s="160"/>
      <c r="C178" s="160"/>
      <c r="D178" s="160"/>
      <c r="E178" s="160"/>
      <c r="F178" s="160"/>
      <c r="G178" s="160"/>
      <c r="H178" s="160"/>
      <c r="I178" s="160"/>
      <c r="J178" s="160"/>
      <c r="K178" s="160"/>
      <c r="L178" s="160"/>
      <c r="M178" s="160"/>
      <c r="N178" s="160"/>
      <c r="O178" s="160"/>
      <c r="P178" s="160"/>
      <c r="Q178" s="160"/>
      <c r="R178" s="160"/>
      <c r="S178" s="160"/>
      <c r="T178" s="160"/>
      <c r="U178" s="160"/>
      <c r="V178" s="160"/>
    </row>
    <row r="179" spans="2:22" s="40" customFormat="1" x14ac:dyDescent="0.35">
      <c r="B179" s="160"/>
      <c r="C179" s="160"/>
      <c r="D179" s="160"/>
      <c r="E179" s="160"/>
      <c r="F179" s="160"/>
      <c r="G179" s="160"/>
      <c r="H179" s="160"/>
      <c r="I179" s="160"/>
      <c r="J179" s="160"/>
      <c r="K179" s="160"/>
      <c r="L179" s="160"/>
      <c r="M179" s="160"/>
      <c r="N179" s="160"/>
      <c r="O179" s="160"/>
      <c r="P179" s="160"/>
      <c r="Q179" s="160"/>
      <c r="R179" s="160"/>
      <c r="S179" s="160"/>
      <c r="T179" s="160"/>
      <c r="U179" s="160"/>
      <c r="V179" s="160"/>
    </row>
    <row r="180" spans="2:22" s="40" customFormat="1" x14ac:dyDescent="0.35">
      <c r="B180" s="160"/>
      <c r="C180" s="160"/>
      <c r="D180" s="160"/>
      <c r="E180" s="160"/>
      <c r="F180" s="160"/>
      <c r="G180" s="160"/>
      <c r="H180" s="160"/>
      <c r="I180" s="160"/>
      <c r="J180" s="160"/>
      <c r="K180" s="160"/>
      <c r="L180" s="160"/>
      <c r="M180" s="160"/>
      <c r="N180" s="160"/>
      <c r="O180" s="160"/>
      <c r="P180" s="160"/>
      <c r="Q180" s="160"/>
      <c r="R180" s="160"/>
      <c r="S180" s="160"/>
      <c r="T180" s="160"/>
      <c r="U180" s="160"/>
      <c r="V180" s="160"/>
    </row>
    <row r="181" spans="2:22" s="40" customFormat="1" x14ac:dyDescent="0.35">
      <c r="B181" s="160"/>
      <c r="C181" s="160"/>
      <c r="D181" s="160"/>
      <c r="E181" s="160"/>
      <c r="F181" s="160"/>
      <c r="G181" s="160"/>
      <c r="H181" s="160"/>
      <c r="I181" s="160"/>
      <c r="J181" s="160"/>
      <c r="K181" s="160"/>
      <c r="L181" s="160"/>
      <c r="M181" s="160"/>
      <c r="N181" s="160"/>
      <c r="O181" s="160"/>
      <c r="P181" s="160"/>
      <c r="Q181" s="160"/>
      <c r="R181" s="160"/>
      <c r="S181" s="160"/>
      <c r="T181" s="160"/>
      <c r="U181" s="160"/>
      <c r="V181" s="160"/>
    </row>
    <row r="182" spans="2:22" s="40" customFormat="1" x14ac:dyDescent="0.35">
      <c r="B182" s="160"/>
      <c r="C182" s="160"/>
      <c r="D182" s="160"/>
      <c r="E182" s="160"/>
      <c r="F182" s="160"/>
      <c r="G182" s="160"/>
      <c r="H182" s="160"/>
      <c r="I182" s="160"/>
      <c r="J182" s="160"/>
      <c r="K182" s="160"/>
      <c r="L182" s="160"/>
      <c r="M182" s="160"/>
      <c r="N182" s="160"/>
      <c r="O182" s="160"/>
      <c r="P182" s="160"/>
      <c r="Q182" s="160"/>
      <c r="R182" s="160"/>
      <c r="S182" s="160"/>
      <c r="T182" s="160"/>
      <c r="U182" s="160"/>
      <c r="V182" s="160"/>
    </row>
    <row r="183" spans="2:22" s="40" customFormat="1" x14ac:dyDescent="0.35">
      <c r="B183" s="160"/>
      <c r="C183" s="160"/>
      <c r="D183" s="160"/>
      <c r="E183" s="160"/>
      <c r="F183" s="160"/>
      <c r="G183" s="160"/>
      <c r="H183" s="160"/>
      <c r="I183" s="160"/>
      <c r="J183" s="160"/>
      <c r="K183" s="160"/>
      <c r="L183" s="160"/>
      <c r="M183" s="160"/>
      <c r="N183" s="160"/>
      <c r="O183" s="160"/>
      <c r="P183" s="160"/>
      <c r="Q183" s="160"/>
      <c r="R183" s="160"/>
      <c r="S183" s="160"/>
      <c r="T183" s="160"/>
      <c r="U183" s="160"/>
      <c r="V183" s="160"/>
    </row>
    <row r="184" spans="2:22" s="40" customFormat="1" x14ac:dyDescent="0.35">
      <c r="B184" s="160"/>
      <c r="C184" s="160"/>
      <c r="D184" s="160"/>
      <c r="E184" s="160"/>
      <c r="F184" s="160"/>
      <c r="G184" s="160"/>
      <c r="H184" s="160"/>
      <c r="I184" s="160"/>
      <c r="J184" s="160"/>
      <c r="K184" s="160"/>
      <c r="L184" s="160"/>
      <c r="M184" s="160"/>
      <c r="N184" s="160"/>
      <c r="O184" s="160"/>
      <c r="P184" s="160"/>
      <c r="Q184" s="160"/>
      <c r="R184" s="160"/>
      <c r="S184" s="160"/>
      <c r="T184" s="160"/>
      <c r="U184" s="160"/>
      <c r="V184" s="160"/>
    </row>
    <row r="185" spans="2:22" s="40" customFormat="1" x14ac:dyDescent="0.35">
      <c r="B185" s="160"/>
      <c r="C185" s="160"/>
      <c r="D185" s="160"/>
      <c r="E185" s="160"/>
      <c r="F185" s="160"/>
      <c r="G185" s="160"/>
      <c r="H185" s="160"/>
      <c r="I185" s="160"/>
      <c r="J185" s="160"/>
      <c r="K185" s="160"/>
      <c r="L185" s="160"/>
      <c r="M185" s="160"/>
      <c r="N185" s="160"/>
      <c r="O185" s="160"/>
      <c r="P185" s="160"/>
      <c r="Q185" s="160"/>
      <c r="R185" s="160"/>
      <c r="S185" s="160"/>
      <c r="T185" s="160"/>
      <c r="U185" s="160"/>
      <c r="V185" s="160"/>
    </row>
    <row r="186" spans="2:22" s="40" customFormat="1" x14ac:dyDescent="0.35">
      <c r="B186" s="160"/>
      <c r="C186" s="160"/>
      <c r="D186" s="160"/>
      <c r="E186" s="160"/>
      <c r="F186" s="160"/>
      <c r="G186" s="160"/>
      <c r="H186" s="160"/>
      <c r="I186" s="160"/>
      <c r="J186" s="160"/>
      <c r="K186" s="160"/>
      <c r="L186" s="160"/>
      <c r="M186" s="160"/>
      <c r="N186" s="160"/>
      <c r="O186" s="160"/>
      <c r="P186" s="160"/>
      <c r="Q186" s="160"/>
      <c r="R186" s="160"/>
      <c r="S186" s="160"/>
      <c r="T186" s="160"/>
      <c r="U186" s="160"/>
      <c r="V186" s="160"/>
    </row>
  </sheetData>
  <mergeCells count="56">
    <mergeCell ref="B139:C139"/>
    <mergeCell ref="B140:C140"/>
    <mergeCell ref="K114:P114"/>
    <mergeCell ref="Q114:V114"/>
    <mergeCell ref="B136:C136"/>
    <mergeCell ref="B137:C137"/>
    <mergeCell ref="B138:C138"/>
    <mergeCell ref="B123:B134"/>
    <mergeCell ref="B135:C135"/>
    <mergeCell ref="B114:C115"/>
    <mergeCell ref="D114:D115"/>
    <mergeCell ref="E114:J114"/>
    <mergeCell ref="B102:C102"/>
    <mergeCell ref="B103:C103"/>
    <mergeCell ref="B104:C104"/>
    <mergeCell ref="B116:B121"/>
    <mergeCell ref="B122:C122"/>
    <mergeCell ref="E78:J78"/>
    <mergeCell ref="K78:P78"/>
    <mergeCell ref="Q78:V78"/>
    <mergeCell ref="B100:C100"/>
    <mergeCell ref="B101:C101"/>
    <mergeCell ref="B86:C86"/>
    <mergeCell ref="B87:B98"/>
    <mergeCell ref="B99:C99"/>
    <mergeCell ref="B78:C79"/>
    <mergeCell ref="D78:D79"/>
    <mergeCell ref="B66:C66"/>
    <mergeCell ref="B67:C67"/>
    <mergeCell ref="B68:C68"/>
    <mergeCell ref="B69:C69"/>
    <mergeCell ref="B80:B85"/>
    <mergeCell ref="D43:D44"/>
    <mergeCell ref="E43:J43"/>
    <mergeCell ref="K43:P43"/>
    <mergeCell ref="Q43:V43"/>
    <mergeCell ref="B65:C65"/>
    <mergeCell ref="B45:B50"/>
    <mergeCell ref="B51:C51"/>
    <mergeCell ref="B52:B63"/>
    <mergeCell ref="B64:C64"/>
    <mergeCell ref="B43:C44"/>
    <mergeCell ref="Q7:V7"/>
    <mergeCell ref="B7:C8"/>
    <mergeCell ref="D7:D8"/>
    <mergeCell ref="E7:J7"/>
    <mergeCell ref="K7:P7"/>
    <mergeCell ref="B30:C30"/>
    <mergeCell ref="B31:C31"/>
    <mergeCell ref="B32:C32"/>
    <mergeCell ref="B33:C33"/>
    <mergeCell ref="B9:B14"/>
    <mergeCell ref="B15:C15"/>
    <mergeCell ref="B16:B27"/>
    <mergeCell ref="B28:C28"/>
    <mergeCell ref="B29:C2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4"/>
  <sheetViews>
    <sheetView workbookViewId="0">
      <selection activeCell="H22" sqref="H22:I22"/>
    </sheetView>
  </sheetViews>
  <sheetFormatPr defaultRowHeight="14.5" x14ac:dyDescent="0.35"/>
  <cols>
    <col min="2" max="2" width="33.453125" customWidth="1"/>
    <col min="8" max="8" width="40.7265625" customWidth="1"/>
    <col min="9" max="9" width="3.26953125" customWidth="1"/>
  </cols>
  <sheetData>
    <row r="1" spans="1:8" ht="26" x14ac:dyDescent="0.6">
      <c r="A1" s="6" t="s">
        <v>125</v>
      </c>
    </row>
    <row r="2" spans="1:8" x14ac:dyDescent="0.35">
      <c r="A2" t="s">
        <v>0</v>
      </c>
      <c r="B2" s="16">
        <v>3.3</v>
      </c>
      <c r="C2" t="s">
        <v>351</v>
      </c>
    </row>
    <row r="3" spans="1:8" x14ac:dyDescent="0.35">
      <c r="A3" s="5" t="s">
        <v>76</v>
      </c>
      <c r="B3" s="16">
        <v>12</v>
      </c>
      <c r="C3" t="s">
        <v>351</v>
      </c>
    </row>
    <row r="6" spans="1:8" x14ac:dyDescent="0.35">
      <c r="C6" s="31"/>
    </row>
    <row r="7" spans="1:8" x14ac:dyDescent="0.35">
      <c r="B7" s="24" t="s">
        <v>262</v>
      </c>
      <c r="C7" s="25">
        <v>2015</v>
      </c>
      <c r="D7" s="26">
        <v>2016</v>
      </c>
      <c r="E7" s="26">
        <v>2017</v>
      </c>
      <c r="F7" s="26">
        <v>2018</v>
      </c>
      <c r="G7" s="26">
        <v>2019</v>
      </c>
      <c r="H7" s="18" t="s">
        <v>112</v>
      </c>
    </row>
    <row r="8" spans="1:8" ht="52" x14ac:dyDescent="0.35">
      <c r="B8" s="19" t="s">
        <v>263</v>
      </c>
      <c r="C8" s="76" t="s">
        <v>51</v>
      </c>
      <c r="D8" s="76" t="s">
        <v>51</v>
      </c>
      <c r="E8" s="76" t="s">
        <v>51</v>
      </c>
      <c r="F8" s="76" t="s">
        <v>51</v>
      </c>
      <c r="G8" s="76">
        <v>0</v>
      </c>
      <c r="H8" s="179" t="s">
        <v>273</v>
      </c>
    </row>
    <row r="9" spans="1:8" ht="52" x14ac:dyDescent="0.35">
      <c r="B9" s="19" t="s">
        <v>265</v>
      </c>
      <c r="C9" s="76" t="s">
        <v>51</v>
      </c>
      <c r="D9" s="76" t="s">
        <v>51</v>
      </c>
      <c r="E9" s="76" t="s">
        <v>51</v>
      </c>
      <c r="F9" s="76" t="s">
        <v>51</v>
      </c>
      <c r="G9" s="76">
        <v>0</v>
      </c>
      <c r="H9" s="179" t="s">
        <v>862</v>
      </c>
    </row>
    <row r="10" spans="1:8" ht="39" x14ac:dyDescent="0.35">
      <c r="B10" s="19" t="s">
        <v>266</v>
      </c>
      <c r="C10" s="76" t="s">
        <v>51</v>
      </c>
      <c r="D10" s="76" t="s">
        <v>51</v>
      </c>
      <c r="E10" s="76" t="s">
        <v>51</v>
      </c>
      <c r="F10" s="76" t="s">
        <v>51</v>
      </c>
      <c r="G10" s="76">
        <v>0</v>
      </c>
      <c r="H10" s="179" t="s">
        <v>863</v>
      </c>
    </row>
    <row r="11" spans="1:8" ht="39" x14ac:dyDescent="0.35">
      <c r="B11" s="19" t="s">
        <v>267</v>
      </c>
      <c r="C11" s="76" t="s">
        <v>51</v>
      </c>
      <c r="D11" s="76" t="s">
        <v>51</v>
      </c>
      <c r="E11" s="76" t="s">
        <v>51</v>
      </c>
      <c r="F11" s="76" t="s">
        <v>51</v>
      </c>
      <c r="G11" s="76">
        <v>0</v>
      </c>
      <c r="H11" s="179" t="s">
        <v>272</v>
      </c>
    </row>
    <row r="12" spans="1:8" ht="21.75" customHeight="1" x14ac:dyDescent="0.35">
      <c r="B12" s="19" t="s">
        <v>268</v>
      </c>
      <c r="C12" s="76" t="s">
        <v>51</v>
      </c>
      <c r="D12" s="76" t="s">
        <v>51</v>
      </c>
      <c r="E12" s="76" t="s">
        <v>51</v>
      </c>
      <c r="F12" s="76" t="s">
        <v>51</v>
      </c>
      <c r="G12" s="76">
        <v>0</v>
      </c>
      <c r="H12" s="83" t="s">
        <v>269</v>
      </c>
    </row>
    <row r="13" spans="1:8" ht="33" customHeight="1" x14ac:dyDescent="0.35">
      <c r="B13" s="19" t="s">
        <v>270</v>
      </c>
      <c r="C13" s="76" t="s">
        <v>51</v>
      </c>
      <c r="D13" s="76" t="s">
        <v>51</v>
      </c>
      <c r="E13" s="76" t="s">
        <v>51</v>
      </c>
      <c r="F13" s="76" t="s">
        <v>51</v>
      </c>
      <c r="G13" s="76">
        <v>0</v>
      </c>
      <c r="H13" s="83" t="s">
        <v>271</v>
      </c>
    </row>
    <row r="14" spans="1:8" ht="27" customHeight="1" x14ac:dyDescent="0.35">
      <c r="B14" s="19" t="s">
        <v>64</v>
      </c>
      <c r="C14" s="76" t="s">
        <v>51</v>
      </c>
      <c r="D14" s="76" t="s">
        <v>51</v>
      </c>
      <c r="E14" s="76" t="s">
        <v>51</v>
      </c>
      <c r="F14" s="76" t="s">
        <v>51</v>
      </c>
      <c r="G14" s="76" t="s">
        <v>51</v>
      </c>
      <c r="H14" s="2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71"/>
  <sheetViews>
    <sheetView topLeftCell="A3" zoomScaleNormal="100" workbookViewId="0">
      <selection activeCell="K8" sqref="K8:L12"/>
    </sheetView>
  </sheetViews>
  <sheetFormatPr defaultRowHeight="14.5" x14ac:dyDescent="0.35"/>
  <cols>
    <col min="1" max="1" width="9.1796875" style="40"/>
    <col min="2" max="2" width="17.81640625" customWidth="1"/>
    <col min="3" max="3" width="78.7265625" customWidth="1"/>
    <col min="4" max="7" width="9.1796875" style="86"/>
    <col min="8" max="8" width="3.26953125" style="40" customWidth="1"/>
    <col min="9" max="19" width="9.1796875" style="40"/>
  </cols>
  <sheetData>
    <row r="1" spans="1:7" s="40" customFormat="1" ht="26" x14ac:dyDescent="0.6">
      <c r="A1" s="42" t="s">
        <v>125</v>
      </c>
      <c r="D1" s="166"/>
      <c r="E1" s="166"/>
      <c r="F1" s="166"/>
      <c r="G1" s="166"/>
    </row>
    <row r="2" spans="1:7" s="40" customFormat="1" x14ac:dyDescent="0.35">
      <c r="A2" s="40" t="s">
        <v>0</v>
      </c>
      <c r="B2" s="43" t="s">
        <v>66</v>
      </c>
      <c r="C2" s="40" t="s">
        <v>65</v>
      </c>
      <c r="D2" s="166"/>
      <c r="E2" s="166"/>
      <c r="F2" s="166"/>
      <c r="G2" s="166"/>
    </row>
    <row r="3" spans="1:7" s="40" customFormat="1" x14ac:dyDescent="0.35">
      <c r="A3" s="44" t="s">
        <v>76</v>
      </c>
      <c r="B3" s="43">
        <v>13</v>
      </c>
      <c r="C3" s="40" t="s">
        <v>65</v>
      </c>
      <c r="D3" s="166"/>
      <c r="E3" s="166"/>
      <c r="F3" s="166"/>
      <c r="G3" s="166"/>
    </row>
    <row r="4" spans="1:7" s="40" customFormat="1" x14ac:dyDescent="0.35">
      <c r="D4" s="166"/>
      <c r="E4" s="166"/>
      <c r="F4" s="166"/>
      <c r="G4" s="166"/>
    </row>
    <row r="5" spans="1:7" s="40" customFormat="1" x14ac:dyDescent="0.35">
      <c r="D5" s="166"/>
      <c r="E5" s="166"/>
      <c r="F5" s="166"/>
      <c r="G5" s="166"/>
    </row>
    <row r="6" spans="1:7" s="40" customFormat="1" x14ac:dyDescent="0.35">
      <c r="D6" s="166"/>
      <c r="E6" s="166"/>
      <c r="F6" s="166"/>
      <c r="G6" s="166"/>
    </row>
    <row r="7" spans="1:7" s="40" customFormat="1" x14ac:dyDescent="0.35">
      <c r="D7" s="166"/>
      <c r="E7" s="166"/>
      <c r="F7" s="166"/>
      <c r="G7" s="166"/>
    </row>
    <row r="8" spans="1:7" ht="26" x14ac:dyDescent="0.35">
      <c r="B8" s="29" t="s">
        <v>274</v>
      </c>
      <c r="C8" s="29" t="s">
        <v>275</v>
      </c>
      <c r="D8" s="30" t="s">
        <v>98</v>
      </c>
      <c r="E8" s="30" t="s">
        <v>276</v>
      </c>
      <c r="F8" s="30" t="s">
        <v>277</v>
      </c>
      <c r="G8" s="30" t="s">
        <v>278</v>
      </c>
    </row>
    <row r="9" spans="1:7" s="40" customFormat="1" x14ac:dyDescent="0.35">
      <c r="B9" s="234" t="s">
        <v>279</v>
      </c>
      <c r="C9" s="147" t="s">
        <v>280</v>
      </c>
      <c r="D9" s="87">
        <v>55.2</v>
      </c>
      <c r="E9" s="87">
        <v>0</v>
      </c>
      <c r="F9" s="87">
        <v>6.7</v>
      </c>
      <c r="G9" s="87">
        <v>0</v>
      </c>
    </row>
    <row r="10" spans="1:7" s="40" customFormat="1" x14ac:dyDescent="0.35">
      <c r="B10" s="234"/>
      <c r="C10" s="147" t="s">
        <v>281</v>
      </c>
      <c r="D10" s="87">
        <v>0.03</v>
      </c>
      <c r="E10" s="87">
        <v>0</v>
      </c>
      <c r="F10" s="87">
        <v>3.2</v>
      </c>
      <c r="G10" s="87">
        <v>0</v>
      </c>
    </row>
    <row r="11" spans="1:7" s="40" customFormat="1" x14ac:dyDescent="0.35">
      <c r="B11" s="234"/>
      <c r="C11" s="147" t="s">
        <v>282</v>
      </c>
      <c r="D11" s="87">
        <v>75</v>
      </c>
      <c r="E11" s="87">
        <v>0</v>
      </c>
      <c r="F11" s="87">
        <v>5</v>
      </c>
      <c r="G11" s="87">
        <v>0</v>
      </c>
    </row>
    <row r="12" spans="1:7" s="40" customFormat="1" x14ac:dyDescent="0.35">
      <c r="B12" s="234"/>
      <c r="C12" s="147" t="s">
        <v>283</v>
      </c>
      <c r="D12" s="87">
        <v>0</v>
      </c>
      <c r="E12" s="87">
        <v>0</v>
      </c>
      <c r="F12" s="87">
        <v>1</v>
      </c>
      <c r="G12" s="87">
        <v>0</v>
      </c>
    </row>
    <row r="13" spans="1:7" s="40" customFormat="1" x14ac:dyDescent="0.35">
      <c r="B13" s="234"/>
      <c r="C13" s="147" t="s">
        <v>284</v>
      </c>
      <c r="D13" s="87">
        <v>4656</v>
      </c>
      <c r="E13" s="87">
        <v>0</v>
      </c>
      <c r="F13" s="87">
        <v>151</v>
      </c>
      <c r="G13" s="87">
        <v>0</v>
      </c>
    </row>
    <row r="14" spans="1:7" s="40" customFormat="1" x14ac:dyDescent="0.35">
      <c r="B14" s="234"/>
      <c r="C14" s="147" t="s">
        <v>285</v>
      </c>
      <c r="D14" s="87">
        <v>0</v>
      </c>
      <c r="E14" s="87">
        <v>0</v>
      </c>
      <c r="F14" s="87">
        <v>24</v>
      </c>
      <c r="G14" s="87">
        <v>0</v>
      </c>
    </row>
    <row r="15" spans="1:7" s="40" customFormat="1" x14ac:dyDescent="0.35">
      <c r="B15" s="234"/>
      <c r="C15" s="147" t="s">
        <v>286</v>
      </c>
      <c r="D15" s="87">
        <v>6</v>
      </c>
      <c r="E15" s="87">
        <v>0</v>
      </c>
      <c r="F15" s="87">
        <v>0</v>
      </c>
      <c r="G15" s="87">
        <v>0</v>
      </c>
    </row>
    <row r="16" spans="1:7" s="40" customFormat="1" x14ac:dyDescent="0.35">
      <c r="B16" s="234"/>
      <c r="C16" s="147" t="s">
        <v>287</v>
      </c>
      <c r="D16" s="87">
        <v>0</v>
      </c>
      <c r="E16" s="87">
        <v>0</v>
      </c>
      <c r="F16" s="87">
        <v>0</v>
      </c>
      <c r="G16" s="87">
        <v>0</v>
      </c>
    </row>
    <row r="17" spans="2:7" s="40" customFormat="1" x14ac:dyDescent="0.35">
      <c r="B17" s="234"/>
      <c r="C17" s="147" t="s">
        <v>59</v>
      </c>
      <c r="D17" s="88">
        <v>2.2000000000000002</v>
      </c>
      <c r="E17" s="88">
        <v>0</v>
      </c>
      <c r="F17" s="88">
        <v>0.7</v>
      </c>
      <c r="G17" s="88">
        <v>0</v>
      </c>
    </row>
    <row r="18" spans="2:7" s="40" customFormat="1" x14ac:dyDescent="0.35">
      <c r="B18" s="234"/>
      <c r="C18" s="147" t="s">
        <v>288</v>
      </c>
      <c r="D18" s="88">
        <v>0</v>
      </c>
      <c r="E18" s="88">
        <v>0</v>
      </c>
      <c r="F18" s="88">
        <v>0.2</v>
      </c>
      <c r="G18" s="88">
        <v>0</v>
      </c>
    </row>
    <row r="19" spans="2:7" s="40" customFormat="1" x14ac:dyDescent="0.35">
      <c r="B19" s="234"/>
      <c r="C19" s="147" t="s">
        <v>60</v>
      </c>
      <c r="D19" s="88">
        <v>32.9</v>
      </c>
      <c r="E19" s="88">
        <v>0</v>
      </c>
      <c r="F19" s="88">
        <v>4.5999999999999996</v>
      </c>
      <c r="G19" s="88">
        <v>0</v>
      </c>
    </row>
    <row r="20" spans="2:7" s="40" customFormat="1" x14ac:dyDescent="0.35">
      <c r="B20" s="234"/>
      <c r="C20" s="147" t="s">
        <v>289</v>
      </c>
      <c r="D20" s="88">
        <v>0.03</v>
      </c>
      <c r="E20" s="88">
        <v>0</v>
      </c>
      <c r="F20" s="88">
        <v>2.2999999999999998</v>
      </c>
      <c r="G20" s="88">
        <v>0</v>
      </c>
    </row>
    <row r="21" spans="2:7" s="40" customFormat="1" x14ac:dyDescent="0.35">
      <c r="B21" s="234"/>
      <c r="C21" s="147" t="s">
        <v>654</v>
      </c>
      <c r="D21" s="89" t="s">
        <v>643</v>
      </c>
      <c r="E21" s="89" t="s">
        <v>644</v>
      </c>
      <c r="F21" s="89" t="s">
        <v>644</v>
      </c>
      <c r="G21" s="89" t="s">
        <v>644</v>
      </c>
    </row>
    <row r="22" spans="2:7" s="40" customFormat="1" x14ac:dyDescent="0.35">
      <c r="B22" s="234"/>
      <c r="C22" s="147" t="s">
        <v>655</v>
      </c>
      <c r="D22" s="89" t="s">
        <v>644</v>
      </c>
      <c r="E22" s="89" t="s">
        <v>644</v>
      </c>
      <c r="F22" s="89" t="s">
        <v>644</v>
      </c>
      <c r="G22" s="89" t="s">
        <v>644</v>
      </c>
    </row>
    <row r="23" spans="2:7" s="40" customFormat="1" x14ac:dyDescent="0.35">
      <c r="B23" s="234" t="s">
        <v>292</v>
      </c>
      <c r="C23" s="147" t="s">
        <v>280</v>
      </c>
      <c r="D23" s="87">
        <v>1022.6</v>
      </c>
      <c r="E23" s="87">
        <v>0.7</v>
      </c>
      <c r="F23" s="87">
        <v>814.6</v>
      </c>
      <c r="G23" s="87">
        <v>115.9</v>
      </c>
    </row>
    <row r="24" spans="2:7" s="40" customFormat="1" x14ac:dyDescent="0.35">
      <c r="B24" s="234"/>
      <c r="C24" s="147" t="s">
        <v>281</v>
      </c>
      <c r="D24" s="87">
        <v>667.1</v>
      </c>
      <c r="E24" s="87">
        <v>0.5</v>
      </c>
      <c r="F24" s="87">
        <v>633.20000000000005</v>
      </c>
      <c r="G24" s="87">
        <v>96</v>
      </c>
    </row>
    <row r="25" spans="2:7" s="40" customFormat="1" x14ac:dyDescent="0.35">
      <c r="B25" s="234"/>
      <c r="C25" s="147" t="s">
        <v>282</v>
      </c>
      <c r="D25" s="87">
        <v>272</v>
      </c>
      <c r="E25" s="87">
        <v>0</v>
      </c>
      <c r="F25" s="87">
        <v>262</v>
      </c>
      <c r="G25" s="87">
        <v>33</v>
      </c>
    </row>
    <row r="26" spans="2:7" s="40" customFormat="1" x14ac:dyDescent="0.35">
      <c r="B26" s="234"/>
      <c r="C26" s="147" t="s">
        <v>283</v>
      </c>
      <c r="D26" s="87">
        <v>100</v>
      </c>
      <c r="E26" s="87">
        <v>0</v>
      </c>
      <c r="F26" s="87">
        <v>156</v>
      </c>
      <c r="G26" s="87">
        <v>26</v>
      </c>
    </row>
    <row r="27" spans="2:7" s="40" customFormat="1" x14ac:dyDescent="0.35">
      <c r="B27" s="234"/>
      <c r="C27" s="147" t="s">
        <v>284</v>
      </c>
      <c r="D27" s="87">
        <v>14505</v>
      </c>
      <c r="E27" s="87">
        <v>1</v>
      </c>
      <c r="F27" s="87">
        <v>13383</v>
      </c>
      <c r="G27" s="87">
        <v>1080</v>
      </c>
    </row>
    <row r="28" spans="2:7" s="40" customFormat="1" x14ac:dyDescent="0.35">
      <c r="B28" s="234"/>
      <c r="C28" s="147" t="s">
        <v>285</v>
      </c>
      <c r="D28" s="87">
        <v>6005</v>
      </c>
      <c r="E28" s="87">
        <v>1</v>
      </c>
      <c r="F28" s="87">
        <v>6610</v>
      </c>
      <c r="G28" s="87">
        <v>870</v>
      </c>
    </row>
    <row r="29" spans="2:7" s="40" customFormat="1" x14ac:dyDescent="0.35">
      <c r="B29" s="234"/>
      <c r="C29" s="147" t="s">
        <v>286</v>
      </c>
      <c r="D29" s="87">
        <v>17</v>
      </c>
      <c r="E29" s="87">
        <v>0</v>
      </c>
      <c r="F29" s="87">
        <v>8</v>
      </c>
      <c r="G29" s="87">
        <v>0</v>
      </c>
    </row>
    <row r="30" spans="2:7" s="40" customFormat="1" x14ac:dyDescent="0.35">
      <c r="B30" s="234"/>
      <c r="C30" s="147" t="s">
        <v>287</v>
      </c>
      <c r="D30" s="87">
        <v>11</v>
      </c>
      <c r="E30" s="87">
        <v>0</v>
      </c>
      <c r="F30" s="87">
        <v>6</v>
      </c>
      <c r="G30" s="87">
        <v>0</v>
      </c>
    </row>
    <row r="31" spans="2:7" s="40" customFormat="1" x14ac:dyDescent="0.35">
      <c r="B31" s="234"/>
      <c r="C31" s="147" t="s">
        <v>59</v>
      </c>
      <c r="D31" s="88">
        <v>164.5</v>
      </c>
      <c r="E31" s="88">
        <v>0.2</v>
      </c>
      <c r="F31" s="88">
        <v>150.9</v>
      </c>
      <c r="G31" s="88">
        <v>23.3</v>
      </c>
    </row>
    <row r="32" spans="2:7" s="40" customFormat="1" x14ac:dyDescent="0.35">
      <c r="B32" s="234"/>
      <c r="C32" s="147" t="s">
        <v>288</v>
      </c>
      <c r="D32" s="88">
        <v>127.6</v>
      </c>
      <c r="E32" s="88">
        <v>0.2</v>
      </c>
      <c r="F32" s="88">
        <v>116.1</v>
      </c>
      <c r="G32" s="88">
        <v>15.9</v>
      </c>
    </row>
    <row r="33" spans="2:7" s="40" customFormat="1" x14ac:dyDescent="0.35">
      <c r="B33" s="234"/>
      <c r="C33" s="147" t="s">
        <v>60</v>
      </c>
      <c r="D33" s="88">
        <v>728.4</v>
      </c>
      <c r="E33" s="88">
        <v>0.5</v>
      </c>
      <c r="F33" s="88">
        <v>419.8</v>
      </c>
      <c r="G33" s="88">
        <v>38.5</v>
      </c>
    </row>
    <row r="34" spans="2:7" s="40" customFormat="1" x14ac:dyDescent="0.35">
      <c r="B34" s="234"/>
      <c r="C34" s="147" t="s">
        <v>289</v>
      </c>
      <c r="D34" s="88">
        <v>458.5</v>
      </c>
      <c r="E34" s="88">
        <v>0.3</v>
      </c>
      <c r="F34" s="88">
        <v>323</v>
      </c>
      <c r="G34" s="88">
        <v>29.3</v>
      </c>
    </row>
    <row r="35" spans="2:7" s="40" customFormat="1" x14ac:dyDescent="0.35">
      <c r="B35" s="234"/>
      <c r="C35" s="147" t="s">
        <v>654</v>
      </c>
      <c r="D35" s="89" t="s">
        <v>645</v>
      </c>
      <c r="E35" s="89" t="s">
        <v>644</v>
      </c>
      <c r="F35" s="89" t="s">
        <v>646</v>
      </c>
      <c r="G35" s="89" t="s">
        <v>647</v>
      </c>
    </row>
    <row r="36" spans="2:7" s="40" customFormat="1" x14ac:dyDescent="0.35">
      <c r="B36" s="234"/>
      <c r="C36" s="147" t="s">
        <v>655</v>
      </c>
      <c r="D36" s="89" t="s">
        <v>648</v>
      </c>
      <c r="E36" s="89" t="s">
        <v>644</v>
      </c>
      <c r="F36" s="89" t="s">
        <v>649</v>
      </c>
      <c r="G36" s="89" t="s">
        <v>643</v>
      </c>
    </row>
    <row r="37" spans="2:7" s="40" customFormat="1" x14ac:dyDescent="0.35">
      <c r="B37" s="234" t="s">
        <v>293</v>
      </c>
      <c r="C37" s="147" t="s">
        <v>280</v>
      </c>
      <c r="D37" s="87">
        <v>1231.5999999999999</v>
      </c>
      <c r="E37" s="87">
        <v>6.1</v>
      </c>
      <c r="F37" s="87">
        <v>614.20000000000005</v>
      </c>
      <c r="G37" s="87">
        <v>0</v>
      </c>
    </row>
    <row r="38" spans="2:7" s="40" customFormat="1" x14ac:dyDescent="0.35">
      <c r="B38" s="234"/>
      <c r="C38" s="147" t="s">
        <v>281</v>
      </c>
      <c r="D38" s="87">
        <v>498.4</v>
      </c>
      <c r="E38" s="87">
        <v>5.3</v>
      </c>
      <c r="F38" s="87">
        <v>429.4</v>
      </c>
      <c r="G38" s="87">
        <v>0</v>
      </c>
    </row>
    <row r="39" spans="2:7" s="40" customFormat="1" x14ac:dyDescent="0.35">
      <c r="B39" s="234"/>
      <c r="C39" s="147" t="s">
        <v>282</v>
      </c>
      <c r="D39" s="87">
        <v>198</v>
      </c>
      <c r="E39" s="87">
        <v>0</v>
      </c>
      <c r="F39" s="87">
        <v>139</v>
      </c>
      <c r="G39" s="87">
        <v>0</v>
      </c>
    </row>
    <row r="40" spans="2:7" s="40" customFormat="1" x14ac:dyDescent="0.35">
      <c r="B40" s="234"/>
      <c r="C40" s="147" t="s">
        <v>283</v>
      </c>
      <c r="D40" s="87">
        <v>64</v>
      </c>
      <c r="E40" s="87">
        <v>0</v>
      </c>
      <c r="F40" s="87">
        <v>111</v>
      </c>
      <c r="G40" s="87">
        <v>0</v>
      </c>
    </row>
    <row r="41" spans="2:7" s="40" customFormat="1" x14ac:dyDescent="0.35">
      <c r="B41" s="234"/>
      <c r="C41" s="147" t="s">
        <v>284</v>
      </c>
      <c r="D41" s="87">
        <v>7663</v>
      </c>
      <c r="E41" s="87">
        <v>14</v>
      </c>
      <c r="F41" s="87">
        <v>4577</v>
      </c>
      <c r="G41" s="87">
        <v>0</v>
      </c>
    </row>
    <row r="42" spans="2:7" s="40" customFormat="1" x14ac:dyDescent="0.35">
      <c r="B42" s="234"/>
      <c r="C42" s="147" t="s">
        <v>285</v>
      </c>
      <c r="D42" s="87">
        <v>2841</v>
      </c>
      <c r="E42" s="87">
        <v>13</v>
      </c>
      <c r="F42" s="87">
        <v>3965</v>
      </c>
      <c r="G42" s="87">
        <v>0</v>
      </c>
    </row>
    <row r="43" spans="2:7" s="40" customFormat="1" x14ac:dyDescent="0.35">
      <c r="B43" s="234"/>
      <c r="C43" s="147" t="s">
        <v>286</v>
      </c>
      <c r="D43" s="87">
        <v>7</v>
      </c>
      <c r="E43" s="87">
        <v>0</v>
      </c>
      <c r="F43" s="87">
        <v>2</v>
      </c>
      <c r="G43" s="87">
        <v>0</v>
      </c>
    </row>
    <row r="44" spans="2:7" s="40" customFormat="1" x14ac:dyDescent="0.35">
      <c r="B44" s="234"/>
      <c r="C44" s="147" t="s">
        <v>287</v>
      </c>
      <c r="D44" s="87">
        <v>1</v>
      </c>
      <c r="E44" s="87">
        <v>0</v>
      </c>
      <c r="F44" s="87">
        <v>2</v>
      </c>
      <c r="G44" s="87">
        <v>0</v>
      </c>
    </row>
    <row r="45" spans="2:7" s="40" customFormat="1" x14ac:dyDescent="0.35">
      <c r="B45" s="234"/>
      <c r="C45" s="147" t="s">
        <v>59</v>
      </c>
      <c r="D45" s="88">
        <v>217.3</v>
      </c>
      <c r="E45" s="88">
        <v>1</v>
      </c>
      <c r="F45" s="88">
        <v>169.3</v>
      </c>
      <c r="G45" s="88">
        <v>0</v>
      </c>
    </row>
    <row r="46" spans="2:7" s="40" customFormat="1" x14ac:dyDescent="0.35">
      <c r="B46" s="234"/>
      <c r="C46" s="147" t="s">
        <v>288</v>
      </c>
      <c r="D46" s="88">
        <v>90.1</v>
      </c>
      <c r="E46" s="88">
        <v>0.6</v>
      </c>
      <c r="F46" s="88">
        <v>77.5</v>
      </c>
      <c r="G46" s="88">
        <v>0</v>
      </c>
    </row>
    <row r="47" spans="2:7" s="40" customFormat="1" x14ac:dyDescent="0.35">
      <c r="B47" s="234"/>
      <c r="C47" s="147" t="s">
        <v>60</v>
      </c>
      <c r="D47" s="88">
        <v>937.9</v>
      </c>
      <c r="E47" s="88">
        <v>4.8</v>
      </c>
      <c r="F47" s="88">
        <v>356.7</v>
      </c>
      <c r="G47" s="88">
        <v>0</v>
      </c>
    </row>
    <row r="48" spans="2:7" s="40" customFormat="1" x14ac:dyDescent="0.35">
      <c r="B48" s="234"/>
      <c r="C48" s="147" t="s">
        <v>289</v>
      </c>
      <c r="D48" s="88">
        <v>378</v>
      </c>
      <c r="E48" s="88">
        <v>4.4000000000000004</v>
      </c>
      <c r="F48" s="88">
        <v>275.60000000000002</v>
      </c>
      <c r="G48" s="88">
        <v>0</v>
      </c>
    </row>
    <row r="49" spans="2:7" s="40" customFormat="1" x14ac:dyDescent="0.35">
      <c r="B49" s="234"/>
      <c r="C49" s="147" t="s">
        <v>654</v>
      </c>
      <c r="D49" s="89" t="s">
        <v>650</v>
      </c>
      <c r="E49" s="89" t="s">
        <v>644</v>
      </c>
      <c r="F49" s="89" t="s">
        <v>651</v>
      </c>
      <c r="G49" s="89" t="s">
        <v>644</v>
      </c>
    </row>
    <row r="50" spans="2:7" s="40" customFormat="1" x14ac:dyDescent="0.35">
      <c r="B50" s="234"/>
      <c r="C50" s="147" t="s">
        <v>655</v>
      </c>
      <c r="D50" s="89" t="s">
        <v>652</v>
      </c>
      <c r="E50" s="89" t="s">
        <v>644</v>
      </c>
      <c r="F50" s="89" t="s">
        <v>653</v>
      </c>
      <c r="G50" s="89" t="s">
        <v>644</v>
      </c>
    </row>
    <row r="51" spans="2:7" s="40" customFormat="1" x14ac:dyDescent="0.35">
      <c r="D51" s="166"/>
      <c r="E51" s="166"/>
      <c r="F51" s="166"/>
      <c r="G51" s="166"/>
    </row>
    <row r="52" spans="2:7" s="40" customFormat="1" x14ac:dyDescent="0.35">
      <c r="D52" s="166"/>
      <c r="E52" s="166"/>
      <c r="F52" s="166"/>
      <c r="G52" s="166"/>
    </row>
    <row r="53" spans="2:7" s="40" customFormat="1" x14ac:dyDescent="0.35">
      <c r="D53" s="166"/>
      <c r="E53" s="166"/>
      <c r="F53" s="166"/>
      <c r="G53" s="166"/>
    </row>
    <row r="54" spans="2:7" s="40" customFormat="1" x14ac:dyDescent="0.35">
      <c r="D54" s="166"/>
      <c r="E54" s="166"/>
      <c r="F54" s="166"/>
      <c r="G54" s="166"/>
    </row>
    <row r="55" spans="2:7" s="40" customFormat="1" x14ac:dyDescent="0.35">
      <c r="D55" s="166"/>
      <c r="E55" s="166"/>
      <c r="F55" s="166"/>
      <c r="G55" s="166"/>
    </row>
    <row r="56" spans="2:7" s="40" customFormat="1" x14ac:dyDescent="0.35">
      <c r="D56" s="166"/>
      <c r="E56" s="166"/>
      <c r="F56" s="166"/>
      <c r="G56" s="166"/>
    </row>
    <row r="57" spans="2:7" s="40" customFormat="1" x14ac:dyDescent="0.35">
      <c r="D57" s="166"/>
      <c r="E57" s="166"/>
      <c r="F57" s="166"/>
      <c r="G57" s="166"/>
    </row>
    <row r="58" spans="2:7" s="40" customFormat="1" x14ac:dyDescent="0.35">
      <c r="D58" s="166"/>
      <c r="E58" s="166"/>
      <c r="F58" s="166"/>
      <c r="G58" s="166"/>
    </row>
    <row r="59" spans="2:7" s="40" customFormat="1" x14ac:dyDescent="0.35">
      <c r="D59" s="166"/>
      <c r="E59" s="166"/>
      <c r="F59" s="166"/>
      <c r="G59" s="166"/>
    </row>
    <row r="60" spans="2:7" s="40" customFormat="1" x14ac:dyDescent="0.35">
      <c r="D60" s="166"/>
      <c r="E60" s="166"/>
      <c r="F60" s="166"/>
      <c r="G60" s="166"/>
    </row>
    <row r="61" spans="2:7" s="40" customFormat="1" x14ac:dyDescent="0.35">
      <c r="D61" s="166"/>
      <c r="E61" s="166"/>
      <c r="F61" s="166"/>
      <c r="G61" s="166"/>
    </row>
    <row r="62" spans="2:7" s="40" customFormat="1" x14ac:dyDescent="0.35">
      <c r="D62" s="166"/>
      <c r="E62" s="166"/>
      <c r="F62" s="166"/>
      <c r="G62" s="166"/>
    </row>
    <row r="63" spans="2:7" s="40" customFormat="1" x14ac:dyDescent="0.35">
      <c r="D63" s="166"/>
      <c r="E63" s="166"/>
      <c r="F63" s="166"/>
      <c r="G63" s="166"/>
    </row>
    <row r="64" spans="2:7" s="40" customFormat="1" x14ac:dyDescent="0.35">
      <c r="D64" s="166"/>
      <c r="E64" s="166"/>
      <c r="F64" s="166"/>
      <c r="G64" s="166"/>
    </row>
    <row r="65" spans="4:7" s="40" customFormat="1" x14ac:dyDescent="0.35">
      <c r="D65" s="166"/>
      <c r="E65" s="166"/>
      <c r="F65" s="166"/>
      <c r="G65" s="166"/>
    </row>
    <row r="66" spans="4:7" s="40" customFormat="1" x14ac:dyDescent="0.35">
      <c r="D66" s="166"/>
      <c r="E66" s="166"/>
      <c r="F66" s="166"/>
      <c r="G66" s="166"/>
    </row>
    <row r="67" spans="4:7" s="40" customFormat="1" x14ac:dyDescent="0.35">
      <c r="D67" s="166"/>
      <c r="E67" s="166"/>
      <c r="F67" s="166"/>
      <c r="G67" s="166"/>
    </row>
    <row r="68" spans="4:7" s="40" customFormat="1" x14ac:dyDescent="0.35">
      <c r="D68" s="166"/>
      <c r="E68" s="166"/>
      <c r="F68" s="166"/>
      <c r="G68" s="166"/>
    </row>
    <row r="69" spans="4:7" s="40" customFormat="1" x14ac:dyDescent="0.35">
      <c r="D69" s="166"/>
      <c r="E69" s="166"/>
      <c r="F69" s="166"/>
      <c r="G69" s="166"/>
    </row>
    <row r="70" spans="4:7" s="40" customFormat="1" x14ac:dyDescent="0.35">
      <c r="D70" s="166"/>
      <c r="E70" s="166"/>
      <c r="F70" s="166"/>
      <c r="G70" s="166"/>
    </row>
    <row r="71" spans="4:7" s="40" customFormat="1" x14ac:dyDescent="0.35">
      <c r="D71" s="166"/>
      <c r="E71" s="166"/>
      <c r="F71" s="166"/>
      <c r="G71" s="166"/>
    </row>
  </sheetData>
  <mergeCells count="3">
    <mergeCell ref="B9:B22"/>
    <mergeCell ref="B23:B36"/>
    <mergeCell ref="B37:B5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170"/>
  <sheetViews>
    <sheetView workbookViewId="0">
      <selection activeCell="H12" sqref="H12"/>
    </sheetView>
  </sheetViews>
  <sheetFormatPr defaultRowHeight="14.5" x14ac:dyDescent="0.35"/>
  <cols>
    <col min="1" max="1" width="9.1796875" style="40"/>
    <col min="2" max="2" width="36" customWidth="1"/>
    <col min="3" max="3" width="13.26953125" customWidth="1"/>
    <col min="4" max="4" width="61.1796875" customWidth="1"/>
    <col min="5" max="5" width="10.26953125" style="40" customWidth="1"/>
    <col min="6" max="20" width="9.1796875" style="40"/>
  </cols>
  <sheetData>
    <row r="1" spans="1:4" s="40" customFormat="1" ht="26" x14ac:dyDescent="0.6">
      <c r="A1" s="42" t="s">
        <v>125</v>
      </c>
    </row>
    <row r="2" spans="1:4" s="40" customFormat="1" x14ac:dyDescent="0.35">
      <c r="A2" s="40" t="s">
        <v>0</v>
      </c>
      <c r="B2" s="43" t="s">
        <v>66</v>
      </c>
      <c r="C2" s="40" t="s">
        <v>65</v>
      </c>
    </row>
    <row r="3" spans="1:4" s="40" customFormat="1" x14ac:dyDescent="0.35">
      <c r="A3" s="44" t="s">
        <v>76</v>
      </c>
      <c r="B3" s="43">
        <v>14</v>
      </c>
      <c r="C3" s="40" t="s">
        <v>352</v>
      </c>
    </row>
    <row r="4" spans="1:4" s="40" customFormat="1" x14ac:dyDescent="0.35"/>
    <row r="5" spans="1:4" s="40" customFormat="1" x14ac:dyDescent="0.35"/>
    <row r="6" spans="1:4" s="40" customFormat="1" x14ac:dyDescent="0.35"/>
    <row r="7" spans="1:4" ht="42" customHeight="1" x14ac:dyDescent="0.35">
      <c r="B7" s="17" t="s">
        <v>294</v>
      </c>
      <c r="C7" s="79" t="s">
        <v>295</v>
      </c>
      <c r="D7" s="18" t="s">
        <v>112</v>
      </c>
    </row>
    <row r="8" spans="1:4" x14ac:dyDescent="0.35">
      <c r="B8" s="77" t="s">
        <v>296</v>
      </c>
      <c r="C8" s="141">
        <v>10</v>
      </c>
      <c r="D8" s="78" t="s">
        <v>297</v>
      </c>
    </row>
    <row r="9" spans="1:4" ht="26" x14ac:dyDescent="0.35">
      <c r="B9" s="77" t="s">
        <v>298</v>
      </c>
      <c r="C9" s="142">
        <f>C8/SUM('[1]GIS Normalized values'!D5:E5)</f>
        <v>3.0750307503075031E-3</v>
      </c>
      <c r="D9" s="78" t="s">
        <v>299</v>
      </c>
    </row>
    <row r="10" spans="1:4" ht="26" x14ac:dyDescent="0.35">
      <c r="B10" s="77" t="s">
        <v>300</v>
      </c>
      <c r="C10" s="143">
        <v>0</v>
      </c>
      <c r="D10" s="78" t="s">
        <v>301</v>
      </c>
    </row>
    <row r="11" spans="1:4" ht="26" x14ac:dyDescent="0.35">
      <c r="B11" s="77" t="s">
        <v>302</v>
      </c>
      <c r="C11" s="143">
        <f>C10/SUM('[1]GIS Normalized values'!D6:E6)</f>
        <v>0</v>
      </c>
      <c r="D11" s="78" t="s">
        <v>303</v>
      </c>
    </row>
    <row r="12" spans="1:4" ht="26" x14ac:dyDescent="0.35">
      <c r="B12" s="77" t="s">
        <v>304</v>
      </c>
      <c r="C12" s="143">
        <v>0</v>
      </c>
      <c r="D12" s="78" t="s">
        <v>305</v>
      </c>
    </row>
    <row r="13" spans="1:4" ht="26" x14ac:dyDescent="0.35">
      <c r="B13" s="77" t="s">
        <v>306</v>
      </c>
      <c r="C13" s="143">
        <f>C12/SUM('[1]GIS Normalized values'!D7:E7)</f>
        <v>0</v>
      </c>
      <c r="D13" s="78" t="s">
        <v>307</v>
      </c>
    </row>
    <row r="14" spans="1:4" ht="26" x14ac:dyDescent="0.35">
      <c r="B14" s="77" t="s">
        <v>308</v>
      </c>
      <c r="C14" s="141">
        <v>8</v>
      </c>
      <c r="D14" s="78" t="s">
        <v>309</v>
      </c>
    </row>
    <row r="15" spans="1:4" ht="26" x14ac:dyDescent="0.35">
      <c r="B15" s="77" t="s">
        <v>310</v>
      </c>
      <c r="C15" s="144">
        <f>C14/SUM('[1]GIS Normalized values'!D8:E8)</f>
        <v>7.2595281306715061E-3</v>
      </c>
      <c r="D15" s="78" t="s">
        <v>311</v>
      </c>
    </row>
    <row r="16" spans="1:4" ht="26" x14ac:dyDescent="0.35">
      <c r="B16" s="77" t="s">
        <v>312</v>
      </c>
      <c r="C16" s="141">
        <v>2</v>
      </c>
      <c r="D16" s="78" t="s">
        <v>313</v>
      </c>
    </row>
    <row r="17" spans="2:4" ht="26" x14ac:dyDescent="0.35">
      <c r="B17" s="77" t="s">
        <v>314</v>
      </c>
      <c r="C17" s="142">
        <f>C16/SUM('[1]GIS Normalized values'!D9:E9)</f>
        <v>3.2786885245901641E-2</v>
      </c>
      <c r="D17" s="78" t="s">
        <v>315</v>
      </c>
    </row>
    <row r="18" spans="2:4" s="40" customFormat="1" x14ac:dyDescent="0.35"/>
    <row r="19" spans="2:4" s="40" customFormat="1" x14ac:dyDescent="0.35"/>
    <row r="20" spans="2:4" s="40" customFormat="1" x14ac:dyDescent="0.35"/>
    <row r="21" spans="2:4" s="40" customFormat="1" x14ac:dyDescent="0.35"/>
    <row r="22" spans="2:4" s="40" customFormat="1" x14ac:dyDescent="0.35"/>
    <row r="23" spans="2:4" s="40" customFormat="1" x14ac:dyDescent="0.35"/>
    <row r="24" spans="2:4" s="40" customFormat="1" x14ac:dyDescent="0.35"/>
    <row r="25" spans="2:4" s="40" customFormat="1" x14ac:dyDescent="0.35"/>
    <row r="26" spans="2:4" s="40" customFormat="1" x14ac:dyDescent="0.35"/>
    <row r="27" spans="2:4" s="40" customFormat="1" x14ac:dyDescent="0.35"/>
    <row r="28" spans="2:4" s="40" customFormat="1" x14ac:dyDescent="0.35"/>
    <row r="29" spans="2:4" s="40" customFormat="1" x14ac:dyDescent="0.35"/>
    <row r="30" spans="2:4" s="40" customFormat="1" x14ac:dyDescent="0.35"/>
    <row r="31" spans="2:4" s="40" customFormat="1" x14ac:dyDescent="0.35"/>
    <row r="32" spans="2:4" s="40" customFormat="1" x14ac:dyDescent="0.35"/>
    <row r="33" s="40" customFormat="1" x14ac:dyDescent="0.35"/>
    <row r="34" s="40" customFormat="1" x14ac:dyDescent="0.35"/>
    <row r="35" s="40" customFormat="1" x14ac:dyDescent="0.35"/>
    <row r="36" s="40" customFormat="1" x14ac:dyDescent="0.35"/>
    <row r="37" s="40" customFormat="1" x14ac:dyDescent="0.35"/>
    <row r="38" s="40" customFormat="1" x14ac:dyDescent="0.35"/>
    <row r="39" s="40" customFormat="1" x14ac:dyDescent="0.35"/>
    <row r="40" s="40" customFormat="1" x14ac:dyDescent="0.35"/>
    <row r="41" s="40" customFormat="1" x14ac:dyDescent="0.35"/>
    <row r="42" s="40" customFormat="1" x14ac:dyDescent="0.35"/>
    <row r="43" s="40" customFormat="1" x14ac:dyDescent="0.35"/>
    <row r="44" s="40" customFormat="1" x14ac:dyDescent="0.35"/>
    <row r="45" s="40" customFormat="1" x14ac:dyDescent="0.35"/>
    <row r="46" s="40" customFormat="1" x14ac:dyDescent="0.35"/>
    <row r="47" s="40" customFormat="1" x14ac:dyDescent="0.35"/>
    <row r="48" s="40" customFormat="1" x14ac:dyDescent="0.35"/>
    <row r="49" s="40" customFormat="1" x14ac:dyDescent="0.35"/>
    <row r="50" s="40" customFormat="1" x14ac:dyDescent="0.35"/>
    <row r="51" s="40" customFormat="1" x14ac:dyDescent="0.35"/>
    <row r="52" s="40" customFormat="1" x14ac:dyDescent="0.35"/>
    <row r="53" s="40" customFormat="1" x14ac:dyDescent="0.35"/>
    <row r="54" s="40" customFormat="1" x14ac:dyDescent="0.35"/>
    <row r="55" s="40" customFormat="1" x14ac:dyDescent="0.35"/>
    <row r="56" s="40" customFormat="1" x14ac:dyDescent="0.35"/>
    <row r="57" s="40" customFormat="1" x14ac:dyDescent="0.35"/>
    <row r="58" s="40" customFormat="1" x14ac:dyDescent="0.35"/>
    <row r="59" s="40" customFormat="1" x14ac:dyDescent="0.35"/>
    <row r="60" s="40" customFormat="1" x14ac:dyDescent="0.35"/>
    <row r="61" s="40" customFormat="1" x14ac:dyDescent="0.35"/>
    <row r="62" s="40" customFormat="1" x14ac:dyDescent="0.35"/>
    <row r="63" s="40" customFormat="1" x14ac:dyDescent="0.35"/>
    <row r="64" s="40" customFormat="1" x14ac:dyDescent="0.35"/>
    <row r="65" s="40" customFormat="1" x14ac:dyDescent="0.35"/>
    <row r="66" s="40" customFormat="1" x14ac:dyDescent="0.35"/>
    <row r="67" s="40" customFormat="1" x14ac:dyDescent="0.35"/>
    <row r="68" s="40" customFormat="1" x14ac:dyDescent="0.35"/>
    <row r="69" s="40" customFormat="1" x14ac:dyDescent="0.35"/>
    <row r="70" s="40" customFormat="1" x14ac:dyDescent="0.35"/>
    <row r="71" s="40" customFormat="1" x14ac:dyDescent="0.35"/>
    <row r="72" s="40" customFormat="1" x14ac:dyDescent="0.35"/>
    <row r="73" s="40" customFormat="1" x14ac:dyDescent="0.35"/>
    <row r="74" s="40" customFormat="1" x14ac:dyDescent="0.35"/>
    <row r="75" s="40" customFormat="1" x14ac:dyDescent="0.35"/>
    <row r="76" s="40" customFormat="1" x14ac:dyDescent="0.35"/>
    <row r="77" s="40" customFormat="1" x14ac:dyDescent="0.35"/>
    <row r="78" s="40" customFormat="1" x14ac:dyDescent="0.35"/>
    <row r="79" s="40" customFormat="1" x14ac:dyDescent="0.35"/>
    <row r="80" s="40" customFormat="1" x14ac:dyDescent="0.35"/>
    <row r="81" s="40" customFormat="1" x14ac:dyDescent="0.35"/>
    <row r="82" s="40" customFormat="1" x14ac:dyDescent="0.35"/>
    <row r="83" s="40" customFormat="1" x14ac:dyDescent="0.35"/>
    <row r="84" s="40" customFormat="1" x14ac:dyDescent="0.35"/>
    <row r="85" s="40" customFormat="1" x14ac:dyDescent="0.35"/>
    <row r="86" s="40" customFormat="1" x14ac:dyDescent="0.35"/>
    <row r="87" s="40" customFormat="1" x14ac:dyDescent="0.35"/>
    <row r="88" s="40" customFormat="1" x14ac:dyDescent="0.35"/>
    <row r="89" s="40" customFormat="1" x14ac:dyDescent="0.35"/>
    <row r="90" s="40" customFormat="1" x14ac:dyDescent="0.35"/>
    <row r="91" s="40" customFormat="1" x14ac:dyDescent="0.35"/>
    <row r="92" s="40" customFormat="1" x14ac:dyDescent="0.35"/>
    <row r="93" s="40" customFormat="1" x14ac:dyDescent="0.35"/>
    <row r="94" s="40" customFormat="1" x14ac:dyDescent="0.35"/>
    <row r="95" s="40" customFormat="1" x14ac:dyDescent="0.35"/>
    <row r="96" s="40" customFormat="1" x14ac:dyDescent="0.35"/>
    <row r="97" s="40" customFormat="1" x14ac:dyDescent="0.35"/>
    <row r="98" s="40" customFormat="1" x14ac:dyDescent="0.35"/>
    <row r="99" s="40" customFormat="1" x14ac:dyDescent="0.35"/>
    <row r="100" s="40" customFormat="1" x14ac:dyDescent="0.35"/>
    <row r="101" s="40" customFormat="1" x14ac:dyDescent="0.35"/>
    <row r="102" s="40" customFormat="1" x14ac:dyDescent="0.35"/>
    <row r="103" s="40" customFormat="1" x14ac:dyDescent="0.35"/>
    <row r="104" s="40" customFormat="1" x14ac:dyDescent="0.35"/>
    <row r="105" s="40" customFormat="1" x14ac:dyDescent="0.35"/>
    <row r="106" s="40" customFormat="1" x14ac:dyDescent="0.35"/>
    <row r="107" s="40" customFormat="1" x14ac:dyDescent="0.35"/>
    <row r="108" s="40" customFormat="1" x14ac:dyDescent="0.35"/>
    <row r="109" s="40" customFormat="1" x14ac:dyDescent="0.35"/>
    <row r="110" s="40" customFormat="1" x14ac:dyDescent="0.35"/>
    <row r="111" s="40" customFormat="1" x14ac:dyDescent="0.35"/>
    <row r="112" s="40" customFormat="1" x14ac:dyDescent="0.35"/>
    <row r="113" s="40" customFormat="1" x14ac:dyDescent="0.35"/>
    <row r="114" s="40" customFormat="1" x14ac:dyDescent="0.35"/>
    <row r="115" s="40" customFormat="1" x14ac:dyDescent="0.35"/>
    <row r="116" s="40" customFormat="1" x14ac:dyDescent="0.35"/>
    <row r="117" s="40" customFormat="1" x14ac:dyDescent="0.35"/>
    <row r="118" s="40" customFormat="1" x14ac:dyDescent="0.35"/>
    <row r="119" s="40" customFormat="1" x14ac:dyDescent="0.35"/>
    <row r="120" s="40" customFormat="1" x14ac:dyDescent="0.35"/>
    <row r="121" s="40" customFormat="1" x14ac:dyDescent="0.35"/>
    <row r="122" s="40" customFormat="1" x14ac:dyDescent="0.35"/>
    <row r="123" s="40" customFormat="1" x14ac:dyDescent="0.35"/>
    <row r="124" s="40" customFormat="1" x14ac:dyDescent="0.35"/>
    <row r="125" s="40" customFormat="1" x14ac:dyDescent="0.35"/>
    <row r="126" s="40" customFormat="1" x14ac:dyDescent="0.35"/>
    <row r="127" s="40" customFormat="1" x14ac:dyDescent="0.35"/>
    <row r="128" s="40" customFormat="1" x14ac:dyDescent="0.35"/>
    <row r="129" s="40" customFormat="1" x14ac:dyDescent="0.35"/>
    <row r="130" s="40" customFormat="1" x14ac:dyDescent="0.35"/>
    <row r="131" s="40" customFormat="1" x14ac:dyDescent="0.35"/>
    <row r="132" s="40" customFormat="1" x14ac:dyDescent="0.35"/>
    <row r="133" s="40" customFormat="1" x14ac:dyDescent="0.35"/>
    <row r="134" s="40" customFormat="1" x14ac:dyDescent="0.35"/>
    <row r="135" s="40" customFormat="1" x14ac:dyDescent="0.35"/>
    <row r="136" s="40" customFormat="1" x14ac:dyDescent="0.35"/>
    <row r="137" s="40" customFormat="1" x14ac:dyDescent="0.35"/>
    <row r="138" s="40" customFormat="1" x14ac:dyDescent="0.35"/>
    <row r="139" s="40" customFormat="1" x14ac:dyDescent="0.35"/>
    <row r="140" s="40" customFormat="1" x14ac:dyDescent="0.35"/>
    <row r="141" s="40" customFormat="1" x14ac:dyDescent="0.35"/>
    <row r="142" s="40" customFormat="1" x14ac:dyDescent="0.35"/>
    <row r="143" s="40" customFormat="1" x14ac:dyDescent="0.35"/>
    <row r="144" s="40" customFormat="1" x14ac:dyDescent="0.35"/>
    <row r="145" s="40" customFormat="1" x14ac:dyDescent="0.35"/>
    <row r="146" s="40" customFormat="1" x14ac:dyDescent="0.35"/>
    <row r="147" s="40" customFormat="1" x14ac:dyDescent="0.35"/>
    <row r="148" s="40" customFormat="1" x14ac:dyDescent="0.35"/>
    <row r="149" s="40" customFormat="1" x14ac:dyDescent="0.35"/>
    <row r="150" s="40" customFormat="1" x14ac:dyDescent="0.35"/>
    <row r="151" s="40" customFormat="1" x14ac:dyDescent="0.35"/>
    <row r="152" s="40" customFormat="1" x14ac:dyDescent="0.35"/>
    <row r="153" s="40" customFormat="1" x14ac:dyDescent="0.35"/>
    <row r="154" s="40" customFormat="1" x14ac:dyDescent="0.35"/>
    <row r="155" s="40" customFormat="1" x14ac:dyDescent="0.35"/>
    <row r="156" s="40" customFormat="1" x14ac:dyDescent="0.35"/>
    <row r="157" s="40" customFormat="1" x14ac:dyDescent="0.35"/>
    <row r="158" s="40" customFormat="1" x14ac:dyDescent="0.35"/>
    <row r="159" s="40" customFormat="1" x14ac:dyDescent="0.35"/>
    <row r="160" s="40" customFormat="1" x14ac:dyDescent="0.35"/>
    <row r="161" s="40" customFormat="1" x14ac:dyDescent="0.35"/>
    <row r="162" s="40" customFormat="1" x14ac:dyDescent="0.35"/>
    <row r="163" s="40" customFormat="1" x14ac:dyDescent="0.35"/>
    <row r="164" s="40" customFormat="1" x14ac:dyDescent="0.35"/>
    <row r="165" s="40" customFormat="1" x14ac:dyDescent="0.35"/>
    <row r="166" s="40" customFormat="1" x14ac:dyDescent="0.35"/>
    <row r="167" s="40" customFormat="1" x14ac:dyDescent="0.35"/>
    <row r="168" s="40" customFormat="1" x14ac:dyDescent="0.35"/>
    <row r="169" s="40" customFormat="1" x14ac:dyDescent="0.35"/>
    <row r="170" s="40" customFormat="1"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95"/>
  <sheetViews>
    <sheetView workbookViewId="0">
      <selection activeCell="L10" sqref="L10"/>
    </sheetView>
  </sheetViews>
  <sheetFormatPr defaultRowHeight="14.5" x14ac:dyDescent="0.35"/>
  <cols>
    <col min="1" max="2" width="9.1796875" style="40"/>
    <col min="3" max="3" width="41.453125" customWidth="1"/>
    <col min="4" max="4" width="17.54296875" customWidth="1"/>
    <col min="5" max="5" width="44.81640625" customWidth="1"/>
    <col min="6" max="6" width="3.54296875" style="40" customWidth="1"/>
    <col min="7" max="22" width="9.1796875" style="40"/>
  </cols>
  <sheetData>
    <row r="1" spans="1:5" s="40" customFormat="1" ht="26" x14ac:dyDescent="0.6">
      <c r="A1" s="42" t="s">
        <v>125</v>
      </c>
      <c r="B1" s="42"/>
    </row>
    <row r="2" spans="1:5" s="40" customFormat="1" x14ac:dyDescent="0.35">
      <c r="A2" s="40" t="s">
        <v>0</v>
      </c>
      <c r="B2" s="43" t="s">
        <v>66</v>
      </c>
      <c r="C2" s="40" t="s">
        <v>65</v>
      </c>
    </row>
    <row r="3" spans="1:5" s="40" customFormat="1" x14ac:dyDescent="0.35">
      <c r="A3" s="44" t="s">
        <v>76</v>
      </c>
      <c r="B3" s="43">
        <v>15</v>
      </c>
      <c r="C3" s="40" t="s">
        <v>352</v>
      </c>
    </row>
    <row r="4" spans="1:5" s="40" customFormat="1" x14ac:dyDescent="0.35"/>
    <row r="5" spans="1:5" s="40" customFormat="1" x14ac:dyDescent="0.35"/>
    <row r="6" spans="1:5" x14ac:dyDescent="0.35">
      <c r="C6" s="79" t="s">
        <v>316</v>
      </c>
      <c r="D6" s="79" t="s">
        <v>295</v>
      </c>
      <c r="E6" s="79" t="s">
        <v>112</v>
      </c>
    </row>
    <row r="7" spans="1:5" ht="26" x14ac:dyDescent="0.35">
      <c r="C7" s="74" t="s">
        <v>317</v>
      </c>
      <c r="D7" s="80">
        <v>45709</v>
      </c>
      <c r="E7" s="74" t="s">
        <v>297</v>
      </c>
    </row>
    <row r="8" spans="1:5" ht="39" x14ac:dyDescent="0.35">
      <c r="C8" s="74" t="s">
        <v>318</v>
      </c>
      <c r="D8" s="73">
        <v>13.69</v>
      </c>
      <c r="E8" s="74" t="s">
        <v>299</v>
      </c>
    </row>
    <row r="9" spans="1:5" ht="26" x14ac:dyDescent="0.35">
      <c r="C9" s="74" t="s">
        <v>319</v>
      </c>
      <c r="D9" s="80">
        <v>22466</v>
      </c>
      <c r="E9" s="74" t="s">
        <v>301</v>
      </c>
    </row>
    <row r="10" spans="1:5" ht="39" x14ac:dyDescent="0.35">
      <c r="C10" s="74" t="s">
        <v>320</v>
      </c>
      <c r="D10" s="73">
        <v>11.35</v>
      </c>
      <c r="E10" s="74" t="s">
        <v>303</v>
      </c>
    </row>
    <row r="11" spans="1:5" ht="26" x14ac:dyDescent="0.35">
      <c r="C11" s="74" t="s">
        <v>321</v>
      </c>
      <c r="D11" s="73">
        <v>46</v>
      </c>
      <c r="E11" s="74" t="s">
        <v>305</v>
      </c>
    </row>
    <row r="12" spans="1:5" ht="39" x14ac:dyDescent="0.35">
      <c r="C12" s="74" t="s">
        <v>322</v>
      </c>
      <c r="D12" s="73">
        <v>6.42</v>
      </c>
      <c r="E12" s="74" t="s">
        <v>307</v>
      </c>
    </row>
    <row r="13" spans="1:5" ht="26" x14ac:dyDescent="0.35">
      <c r="C13" s="74" t="s">
        <v>323</v>
      </c>
      <c r="D13" s="80">
        <v>21312</v>
      </c>
      <c r="E13" s="74" t="s">
        <v>309</v>
      </c>
    </row>
    <row r="14" spans="1:5" ht="39" x14ac:dyDescent="0.35">
      <c r="C14" s="74" t="s">
        <v>324</v>
      </c>
      <c r="D14" s="73">
        <v>17.18</v>
      </c>
      <c r="E14" s="74" t="s">
        <v>311</v>
      </c>
    </row>
    <row r="15" spans="1:5" ht="26" x14ac:dyDescent="0.35">
      <c r="C15" s="74" t="s">
        <v>325</v>
      </c>
      <c r="D15" s="80">
        <v>1886</v>
      </c>
      <c r="E15" s="74" t="s">
        <v>313</v>
      </c>
    </row>
    <row r="16" spans="1:5" ht="39" x14ac:dyDescent="0.35">
      <c r="C16" s="74" t="s">
        <v>326</v>
      </c>
      <c r="D16" s="81">
        <v>17.18</v>
      </c>
      <c r="E16" s="74" t="s">
        <v>315</v>
      </c>
    </row>
    <row r="17" s="40" customFormat="1" x14ac:dyDescent="0.35"/>
    <row r="18" s="40" customFormat="1" x14ac:dyDescent="0.35"/>
    <row r="19" s="40" customFormat="1" x14ac:dyDescent="0.35"/>
    <row r="20" s="40" customFormat="1" x14ac:dyDescent="0.35"/>
    <row r="21" s="40" customFormat="1" x14ac:dyDescent="0.35"/>
    <row r="22" s="40" customFormat="1" x14ac:dyDescent="0.35"/>
    <row r="23" s="40" customFormat="1" x14ac:dyDescent="0.35"/>
    <row r="24" s="40" customFormat="1" x14ac:dyDescent="0.35"/>
    <row r="25" s="40" customFormat="1" x14ac:dyDescent="0.35"/>
    <row r="26" s="40" customFormat="1" x14ac:dyDescent="0.35"/>
    <row r="27" s="40" customFormat="1" x14ac:dyDescent="0.35"/>
    <row r="28" s="40" customFormat="1" x14ac:dyDescent="0.35"/>
    <row r="29" s="40" customFormat="1" x14ac:dyDescent="0.35"/>
    <row r="30" s="40" customFormat="1" x14ac:dyDescent="0.35"/>
    <row r="31" s="40" customFormat="1" x14ac:dyDescent="0.35"/>
    <row r="32" s="40" customFormat="1" x14ac:dyDescent="0.35"/>
    <row r="33" s="40" customFormat="1" x14ac:dyDescent="0.35"/>
    <row r="34" s="40" customFormat="1" x14ac:dyDescent="0.35"/>
    <row r="35" s="40" customFormat="1" x14ac:dyDescent="0.35"/>
    <row r="36" s="40" customFormat="1" x14ac:dyDescent="0.35"/>
    <row r="37" s="40" customFormat="1" x14ac:dyDescent="0.35"/>
    <row r="38" s="40" customFormat="1" x14ac:dyDescent="0.35"/>
    <row r="39" s="40" customFormat="1" x14ac:dyDescent="0.35"/>
    <row r="40" s="40" customFormat="1" x14ac:dyDescent="0.35"/>
    <row r="41" s="40" customFormat="1" x14ac:dyDescent="0.35"/>
    <row r="42" s="40" customFormat="1" x14ac:dyDescent="0.35"/>
    <row r="43" s="40" customFormat="1" x14ac:dyDescent="0.35"/>
    <row r="44" s="40" customFormat="1" x14ac:dyDescent="0.35"/>
    <row r="45" s="40" customFormat="1" x14ac:dyDescent="0.35"/>
    <row r="46" s="40" customFormat="1" x14ac:dyDescent="0.35"/>
    <row r="47" s="40" customFormat="1" x14ac:dyDescent="0.35"/>
    <row r="48" s="40" customFormat="1" x14ac:dyDescent="0.35"/>
    <row r="49" s="40" customFormat="1" x14ac:dyDescent="0.35"/>
    <row r="50" s="40" customFormat="1" x14ac:dyDescent="0.35"/>
    <row r="51" s="40" customFormat="1" x14ac:dyDescent="0.35"/>
    <row r="52" s="40" customFormat="1" x14ac:dyDescent="0.35"/>
    <row r="53" s="40" customFormat="1" x14ac:dyDescent="0.35"/>
    <row r="54" s="40" customFormat="1" x14ac:dyDescent="0.35"/>
    <row r="55" s="40" customFormat="1" x14ac:dyDescent="0.35"/>
    <row r="56" s="40" customFormat="1" x14ac:dyDescent="0.35"/>
    <row r="57" s="40" customFormat="1" x14ac:dyDescent="0.35"/>
    <row r="58" s="40" customFormat="1" x14ac:dyDescent="0.35"/>
    <row r="59" s="40" customFormat="1" x14ac:dyDescent="0.35"/>
    <row r="60" s="40" customFormat="1" x14ac:dyDescent="0.35"/>
    <row r="61" s="40" customFormat="1" x14ac:dyDescent="0.35"/>
    <row r="62" s="40" customFormat="1" x14ac:dyDescent="0.35"/>
    <row r="63" s="40" customFormat="1" x14ac:dyDescent="0.35"/>
    <row r="64" s="40" customFormat="1" x14ac:dyDescent="0.35"/>
    <row r="65" s="40" customFormat="1" x14ac:dyDescent="0.35"/>
    <row r="66" s="40" customFormat="1" x14ac:dyDescent="0.35"/>
    <row r="67" s="40" customFormat="1" x14ac:dyDescent="0.35"/>
    <row r="68" s="40" customFormat="1" x14ac:dyDescent="0.35"/>
    <row r="69" s="40" customFormat="1" x14ac:dyDescent="0.35"/>
    <row r="70" s="40" customFormat="1" x14ac:dyDescent="0.35"/>
    <row r="71" s="40" customFormat="1" x14ac:dyDescent="0.35"/>
    <row r="72" s="40" customFormat="1" x14ac:dyDescent="0.35"/>
    <row r="73" s="40" customFormat="1" x14ac:dyDescent="0.35"/>
    <row r="74" s="40" customFormat="1" x14ac:dyDescent="0.35"/>
    <row r="75" s="40" customFormat="1" x14ac:dyDescent="0.35"/>
    <row r="76" s="40" customFormat="1" x14ac:dyDescent="0.35"/>
    <row r="77" s="40" customFormat="1" x14ac:dyDescent="0.35"/>
    <row r="78" s="40" customFormat="1" x14ac:dyDescent="0.35"/>
    <row r="79" s="40" customFormat="1" x14ac:dyDescent="0.35"/>
    <row r="80" s="40" customFormat="1" x14ac:dyDescent="0.35"/>
    <row r="81" s="40" customFormat="1" x14ac:dyDescent="0.35"/>
    <row r="82" s="40" customFormat="1" x14ac:dyDescent="0.35"/>
    <row r="83" s="40" customFormat="1" x14ac:dyDescent="0.35"/>
    <row r="84" s="40" customFormat="1" x14ac:dyDescent="0.35"/>
    <row r="85" s="40" customFormat="1" x14ac:dyDescent="0.35"/>
    <row r="86" s="40" customFormat="1" x14ac:dyDescent="0.35"/>
    <row r="87" s="40" customFormat="1" x14ac:dyDescent="0.35"/>
    <row r="88" s="40" customFormat="1" x14ac:dyDescent="0.35"/>
    <row r="89" s="40" customFormat="1" x14ac:dyDescent="0.35"/>
    <row r="90" s="40" customFormat="1" x14ac:dyDescent="0.35"/>
    <row r="91" s="40" customFormat="1" x14ac:dyDescent="0.35"/>
    <row r="92" s="40" customFormat="1" x14ac:dyDescent="0.35"/>
    <row r="93" s="40" customFormat="1" x14ac:dyDescent="0.35"/>
    <row r="94" s="40" customFormat="1" x14ac:dyDescent="0.35"/>
    <row r="95" s="40" customFormat="1" x14ac:dyDescent="0.3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62"/>
  <sheetViews>
    <sheetView workbookViewId="0">
      <selection activeCell="E9" sqref="E9"/>
    </sheetView>
  </sheetViews>
  <sheetFormatPr defaultRowHeight="14.5" x14ac:dyDescent="0.35"/>
  <cols>
    <col min="1" max="1" width="9.1796875" style="40"/>
    <col min="2" max="2" width="12.453125" customWidth="1"/>
    <col min="3" max="3" width="43.81640625" customWidth="1"/>
    <col min="4" max="7" width="15.7265625" customWidth="1"/>
    <col min="8" max="8" width="4" style="40" customWidth="1"/>
    <col min="9" max="23" width="9.1796875" style="40"/>
  </cols>
  <sheetData>
    <row r="1" spans="1:7" s="40" customFormat="1" ht="26" x14ac:dyDescent="0.6">
      <c r="A1" s="42" t="s">
        <v>125</v>
      </c>
    </row>
    <row r="2" spans="1:7" s="40" customFormat="1" x14ac:dyDescent="0.35">
      <c r="A2" s="40" t="s">
        <v>0</v>
      </c>
      <c r="B2" s="43" t="s">
        <v>67</v>
      </c>
      <c r="C2" s="40" t="s">
        <v>354</v>
      </c>
    </row>
    <row r="3" spans="1:7" s="40" customFormat="1" x14ac:dyDescent="0.35">
      <c r="A3" s="44" t="s">
        <v>76</v>
      </c>
      <c r="B3" s="43">
        <v>16</v>
      </c>
      <c r="C3" s="40" t="s">
        <v>353</v>
      </c>
    </row>
    <row r="4" spans="1:7" s="40" customFormat="1" x14ac:dyDescent="0.35"/>
    <row r="5" spans="1:7" s="40" customFormat="1" x14ac:dyDescent="0.35"/>
    <row r="6" spans="1:7" s="40" customFormat="1" x14ac:dyDescent="0.35"/>
    <row r="7" spans="1:7" ht="15" customHeight="1" x14ac:dyDescent="0.35">
      <c r="B7" s="266" t="s">
        <v>274</v>
      </c>
      <c r="C7" s="266" t="s">
        <v>275</v>
      </c>
      <c r="D7" s="268" t="s">
        <v>327</v>
      </c>
      <c r="E7" s="269"/>
      <c r="F7" s="269"/>
      <c r="G7" s="270"/>
    </row>
    <row r="8" spans="1:7" x14ac:dyDescent="0.35">
      <c r="B8" s="267"/>
      <c r="C8" s="267"/>
      <c r="D8" s="28" t="s">
        <v>98</v>
      </c>
      <c r="E8" s="28" t="s">
        <v>276</v>
      </c>
      <c r="F8" s="28" t="s">
        <v>277</v>
      </c>
      <c r="G8" s="28" t="s">
        <v>278</v>
      </c>
    </row>
    <row r="9" spans="1:7" s="40" customFormat="1" x14ac:dyDescent="0.35">
      <c r="B9" s="263" t="s">
        <v>279</v>
      </c>
      <c r="C9" s="147" t="s">
        <v>59</v>
      </c>
      <c r="D9" s="76">
        <v>0</v>
      </c>
      <c r="E9" s="76">
        <v>0</v>
      </c>
      <c r="F9" s="76">
        <v>0</v>
      </c>
      <c r="G9" s="76">
        <v>0</v>
      </c>
    </row>
    <row r="10" spans="1:7" s="40" customFormat="1" x14ac:dyDescent="0.35">
      <c r="B10" s="264"/>
      <c r="C10" s="147" t="s">
        <v>60</v>
      </c>
      <c r="D10" s="76">
        <v>0</v>
      </c>
      <c r="E10" s="76">
        <v>0</v>
      </c>
      <c r="F10" s="76">
        <v>0</v>
      </c>
      <c r="G10" s="76">
        <v>0</v>
      </c>
    </row>
    <row r="11" spans="1:7" s="40" customFormat="1" x14ac:dyDescent="0.35">
      <c r="B11" s="264"/>
      <c r="C11" s="147" t="s">
        <v>288</v>
      </c>
      <c r="D11" s="76">
        <v>0</v>
      </c>
      <c r="E11" s="76">
        <v>0</v>
      </c>
      <c r="F11" s="76">
        <v>0</v>
      </c>
      <c r="G11" s="76">
        <v>0</v>
      </c>
    </row>
    <row r="12" spans="1:7" s="40" customFormat="1" x14ac:dyDescent="0.35">
      <c r="B12" s="264"/>
      <c r="C12" s="147" t="s">
        <v>289</v>
      </c>
      <c r="D12" s="76">
        <v>0</v>
      </c>
      <c r="E12" s="76">
        <v>0</v>
      </c>
      <c r="F12" s="76">
        <v>0</v>
      </c>
      <c r="G12" s="76">
        <v>0</v>
      </c>
    </row>
    <row r="13" spans="1:7" s="40" customFormat="1" x14ac:dyDescent="0.35">
      <c r="B13" s="264"/>
      <c r="C13" s="147" t="s">
        <v>290</v>
      </c>
      <c r="D13" s="76">
        <v>0</v>
      </c>
      <c r="E13" s="76">
        <v>0</v>
      </c>
      <c r="F13" s="76">
        <v>0</v>
      </c>
      <c r="G13" s="76">
        <v>0</v>
      </c>
    </row>
    <row r="14" spans="1:7" s="40" customFormat="1" x14ac:dyDescent="0.35">
      <c r="B14" s="264"/>
      <c r="C14" s="147" t="s">
        <v>291</v>
      </c>
      <c r="D14" s="76">
        <v>0</v>
      </c>
      <c r="E14" s="76">
        <v>0</v>
      </c>
      <c r="F14" s="76">
        <v>0</v>
      </c>
      <c r="G14" s="76">
        <v>0</v>
      </c>
    </row>
    <row r="15" spans="1:7" s="40" customFormat="1" x14ac:dyDescent="0.35">
      <c r="B15" s="264"/>
      <c r="C15" s="147" t="s">
        <v>328</v>
      </c>
      <c r="D15" s="76">
        <v>0</v>
      </c>
      <c r="E15" s="76">
        <v>0</v>
      </c>
      <c r="F15" s="76">
        <v>0</v>
      </c>
      <c r="G15" s="76">
        <v>0</v>
      </c>
    </row>
    <row r="16" spans="1:7" s="40" customFormat="1" x14ac:dyDescent="0.35">
      <c r="B16" s="265"/>
      <c r="C16" s="147" t="s">
        <v>329</v>
      </c>
      <c r="D16" s="76">
        <v>0</v>
      </c>
      <c r="E16" s="76">
        <v>0</v>
      </c>
      <c r="F16" s="76">
        <v>0</v>
      </c>
      <c r="G16" s="76">
        <v>0</v>
      </c>
    </row>
    <row r="17" spans="2:7" s="40" customFormat="1" x14ac:dyDescent="0.35">
      <c r="B17" s="263" t="s">
        <v>292</v>
      </c>
      <c r="C17" s="147" t="s">
        <v>59</v>
      </c>
      <c r="D17" s="76">
        <v>0</v>
      </c>
      <c r="E17" s="76">
        <v>0</v>
      </c>
      <c r="F17" s="76">
        <v>0.9</v>
      </c>
      <c r="G17" s="76">
        <v>0</v>
      </c>
    </row>
    <row r="18" spans="2:7" s="40" customFormat="1" x14ac:dyDescent="0.35">
      <c r="B18" s="264"/>
      <c r="C18" s="147" t="s">
        <v>60</v>
      </c>
      <c r="D18" s="76">
        <v>0</v>
      </c>
      <c r="E18" s="76">
        <v>0</v>
      </c>
      <c r="F18" s="76">
        <v>0</v>
      </c>
      <c r="G18" s="76">
        <v>0</v>
      </c>
    </row>
    <row r="19" spans="2:7" s="40" customFormat="1" x14ac:dyDescent="0.35">
      <c r="B19" s="264"/>
      <c r="C19" s="147" t="s">
        <v>288</v>
      </c>
      <c r="D19" s="76">
        <v>0</v>
      </c>
      <c r="E19" s="76">
        <v>0</v>
      </c>
      <c r="F19" s="76">
        <v>0.6</v>
      </c>
      <c r="G19" s="76">
        <v>0</v>
      </c>
    </row>
    <row r="20" spans="2:7" s="40" customFormat="1" x14ac:dyDescent="0.35">
      <c r="B20" s="264"/>
      <c r="C20" s="147" t="s">
        <v>289</v>
      </c>
      <c r="D20" s="76">
        <v>0</v>
      </c>
      <c r="E20" s="76">
        <v>0</v>
      </c>
      <c r="F20" s="76">
        <v>0</v>
      </c>
      <c r="G20" s="76">
        <v>0</v>
      </c>
    </row>
    <row r="21" spans="2:7" s="40" customFormat="1" x14ac:dyDescent="0.35">
      <c r="B21" s="264"/>
      <c r="C21" s="147" t="s">
        <v>290</v>
      </c>
      <c r="D21" s="76">
        <v>0</v>
      </c>
      <c r="E21" s="76">
        <v>0</v>
      </c>
      <c r="F21" s="76">
        <v>1</v>
      </c>
      <c r="G21" s="76">
        <v>0</v>
      </c>
    </row>
    <row r="22" spans="2:7" s="40" customFormat="1" x14ac:dyDescent="0.35">
      <c r="B22" s="264"/>
      <c r="C22" s="147" t="s">
        <v>291</v>
      </c>
      <c r="D22" s="76">
        <v>0</v>
      </c>
      <c r="E22" s="76">
        <v>0</v>
      </c>
      <c r="F22" s="76">
        <v>0</v>
      </c>
      <c r="G22" s="76">
        <v>0</v>
      </c>
    </row>
    <row r="23" spans="2:7" s="40" customFormat="1" x14ac:dyDescent="0.35">
      <c r="B23" s="264"/>
      <c r="C23" s="147" t="s">
        <v>328</v>
      </c>
      <c r="D23" s="76">
        <v>0</v>
      </c>
      <c r="E23" s="76">
        <v>0</v>
      </c>
      <c r="F23" s="76">
        <v>0</v>
      </c>
      <c r="G23" s="76">
        <v>0</v>
      </c>
    </row>
    <row r="24" spans="2:7" s="40" customFormat="1" x14ac:dyDescent="0.35">
      <c r="B24" s="265"/>
      <c r="C24" s="147" t="s">
        <v>329</v>
      </c>
      <c r="D24" s="76">
        <v>0</v>
      </c>
      <c r="E24" s="76">
        <v>0</v>
      </c>
      <c r="F24" s="76">
        <v>0</v>
      </c>
      <c r="G24" s="76">
        <v>0</v>
      </c>
    </row>
    <row r="25" spans="2:7" s="40" customFormat="1" x14ac:dyDescent="0.35">
      <c r="B25" s="263" t="s">
        <v>293</v>
      </c>
      <c r="C25" s="147" t="s">
        <v>59</v>
      </c>
      <c r="D25" s="76">
        <v>0</v>
      </c>
      <c r="E25" s="76">
        <v>0</v>
      </c>
      <c r="F25" s="76">
        <v>0</v>
      </c>
      <c r="G25" s="76">
        <v>0</v>
      </c>
    </row>
    <row r="26" spans="2:7" s="40" customFormat="1" x14ac:dyDescent="0.35">
      <c r="B26" s="264"/>
      <c r="C26" s="147" t="s">
        <v>60</v>
      </c>
      <c r="D26" s="76">
        <v>0</v>
      </c>
      <c r="E26" s="76">
        <v>0</v>
      </c>
      <c r="F26" s="76">
        <v>0</v>
      </c>
      <c r="G26" s="76">
        <v>0</v>
      </c>
    </row>
    <row r="27" spans="2:7" s="40" customFormat="1" x14ac:dyDescent="0.35">
      <c r="B27" s="264"/>
      <c r="C27" s="147" t="s">
        <v>288</v>
      </c>
      <c r="D27" s="76">
        <v>0</v>
      </c>
      <c r="E27" s="76">
        <v>0</v>
      </c>
      <c r="F27" s="76">
        <v>0</v>
      </c>
      <c r="G27" s="76">
        <v>0</v>
      </c>
    </row>
    <row r="28" spans="2:7" s="40" customFormat="1" x14ac:dyDescent="0.35">
      <c r="B28" s="264"/>
      <c r="C28" s="147" t="s">
        <v>289</v>
      </c>
      <c r="D28" s="76">
        <v>0</v>
      </c>
      <c r="E28" s="76">
        <v>0</v>
      </c>
      <c r="F28" s="76">
        <v>0</v>
      </c>
      <c r="G28" s="76">
        <v>0</v>
      </c>
    </row>
    <row r="29" spans="2:7" s="40" customFormat="1" x14ac:dyDescent="0.35">
      <c r="B29" s="264"/>
      <c r="C29" s="147" t="s">
        <v>290</v>
      </c>
      <c r="D29" s="76">
        <v>0</v>
      </c>
      <c r="E29" s="76">
        <v>0</v>
      </c>
      <c r="F29" s="76">
        <v>0</v>
      </c>
      <c r="G29" s="76">
        <v>0</v>
      </c>
    </row>
    <row r="30" spans="2:7" s="40" customFormat="1" x14ac:dyDescent="0.35">
      <c r="B30" s="264"/>
      <c r="C30" s="147" t="s">
        <v>291</v>
      </c>
      <c r="D30" s="76">
        <v>0</v>
      </c>
      <c r="E30" s="76">
        <v>0</v>
      </c>
      <c r="F30" s="76">
        <v>0</v>
      </c>
      <c r="G30" s="76">
        <v>0</v>
      </c>
    </row>
    <row r="31" spans="2:7" s="40" customFormat="1" x14ac:dyDescent="0.35">
      <c r="B31" s="264"/>
      <c r="C31" s="147" t="s">
        <v>328</v>
      </c>
      <c r="D31" s="76">
        <v>0</v>
      </c>
      <c r="E31" s="76">
        <v>0</v>
      </c>
      <c r="F31" s="76">
        <v>0</v>
      </c>
      <c r="G31" s="76">
        <v>0</v>
      </c>
    </row>
    <row r="32" spans="2:7" s="40" customFormat="1" x14ac:dyDescent="0.35">
      <c r="B32" s="265"/>
      <c r="C32" s="147" t="s">
        <v>329</v>
      </c>
      <c r="D32" s="76">
        <v>0</v>
      </c>
      <c r="E32" s="76">
        <v>0</v>
      </c>
      <c r="F32" s="76">
        <v>0</v>
      </c>
      <c r="G32" s="76">
        <v>0</v>
      </c>
    </row>
    <row r="33" s="40" customFormat="1" x14ac:dyDescent="0.35"/>
    <row r="34" s="40" customFormat="1" x14ac:dyDescent="0.35"/>
    <row r="35" s="40" customFormat="1" x14ac:dyDescent="0.35"/>
    <row r="36" s="40" customFormat="1" x14ac:dyDescent="0.35"/>
    <row r="37" s="40" customFormat="1" x14ac:dyDescent="0.35"/>
    <row r="38" s="40" customFormat="1" x14ac:dyDescent="0.35"/>
    <row r="39" s="40" customFormat="1" x14ac:dyDescent="0.35"/>
    <row r="40" s="40" customFormat="1" x14ac:dyDescent="0.35"/>
    <row r="41" s="40" customFormat="1" x14ac:dyDescent="0.35"/>
    <row r="42" s="40" customFormat="1" x14ac:dyDescent="0.35"/>
    <row r="43" s="40" customFormat="1" x14ac:dyDescent="0.35"/>
    <row r="44" s="40" customFormat="1" x14ac:dyDescent="0.35"/>
    <row r="45" s="40" customFormat="1" x14ac:dyDescent="0.35"/>
    <row r="46" s="40" customFormat="1" x14ac:dyDescent="0.35"/>
    <row r="47" s="40" customFormat="1" x14ac:dyDescent="0.35"/>
    <row r="48" s="40" customFormat="1" x14ac:dyDescent="0.35"/>
    <row r="49" s="40" customFormat="1" x14ac:dyDescent="0.35"/>
    <row r="50" s="40" customFormat="1" x14ac:dyDescent="0.35"/>
    <row r="51" s="40" customFormat="1" x14ac:dyDescent="0.35"/>
    <row r="52" s="40" customFormat="1" x14ac:dyDescent="0.35"/>
    <row r="53" s="40" customFormat="1" x14ac:dyDescent="0.35"/>
    <row r="54" s="40" customFormat="1" x14ac:dyDescent="0.35"/>
    <row r="55" s="40" customFormat="1" x14ac:dyDescent="0.35"/>
    <row r="56" s="40" customFormat="1" x14ac:dyDescent="0.35"/>
    <row r="57" s="40" customFormat="1" x14ac:dyDescent="0.35"/>
    <row r="58" s="40" customFormat="1" x14ac:dyDescent="0.35"/>
    <row r="59" s="40" customFormat="1" x14ac:dyDescent="0.35"/>
    <row r="60" s="40" customFormat="1" x14ac:dyDescent="0.35"/>
    <row r="61" s="40" customFormat="1" x14ac:dyDescent="0.35"/>
    <row r="62" s="40" customFormat="1" x14ac:dyDescent="0.35"/>
  </sheetData>
  <mergeCells count="6">
    <mergeCell ref="B25:B32"/>
    <mergeCell ref="B7:B8"/>
    <mergeCell ref="C7:C8"/>
    <mergeCell ref="D7:G7"/>
    <mergeCell ref="B9:B16"/>
    <mergeCell ref="B17:B2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S109"/>
  <sheetViews>
    <sheetView workbookViewId="0">
      <selection activeCell="T9" sqref="T9"/>
    </sheetView>
  </sheetViews>
  <sheetFormatPr defaultRowHeight="14.5" x14ac:dyDescent="0.35"/>
  <cols>
    <col min="1" max="1" width="8.453125" style="40" customWidth="1"/>
    <col min="2" max="2" width="9.1796875" customWidth="1"/>
    <col min="3" max="3" width="60.453125" customWidth="1"/>
    <col min="4" max="15" width="7.453125" customWidth="1"/>
    <col min="16" max="16" width="2.7265625" style="40" customWidth="1"/>
    <col min="17" max="45" width="9.1796875" style="40"/>
  </cols>
  <sheetData>
    <row r="1" spans="1:15" s="40" customFormat="1" ht="26" x14ac:dyDescent="0.6">
      <c r="A1" s="42" t="s">
        <v>125</v>
      </c>
    </row>
    <row r="2" spans="1:15" s="40" customFormat="1" x14ac:dyDescent="0.35">
      <c r="A2" s="40" t="s">
        <v>0</v>
      </c>
      <c r="B2" s="43" t="s">
        <v>67</v>
      </c>
      <c r="C2" s="40" t="s">
        <v>354</v>
      </c>
    </row>
    <row r="3" spans="1:15" s="40" customFormat="1" x14ac:dyDescent="0.35">
      <c r="A3" s="44" t="s">
        <v>76</v>
      </c>
      <c r="B3" s="43">
        <v>17</v>
      </c>
      <c r="C3" s="40" t="s">
        <v>355</v>
      </c>
    </row>
    <row r="4" spans="1:15" s="40" customFormat="1" x14ac:dyDescent="0.35"/>
    <row r="5" spans="1:15" s="40" customFormat="1" x14ac:dyDescent="0.35"/>
    <row r="6" spans="1:15" ht="15" customHeight="1" x14ac:dyDescent="0.35">
      <c r="B6" s="272" t="s">
        <v>274</v>
      </c>
      <c r="C6" s="272" t="s">
        <v>275</v>
      </c>
      <c r="D6" s="271" t="s">
        <v>98</v>
      </c>
      <c r="E6" s="271"/>
      <c r="F6" s="271"/>
      <c r="G6" s="271" t="s">
        <v>276</v>
      </c>
      <c r="H6" s="271"/>
      <c r="I6" s="271"/>
      <c r="J6" s="271" t="s">
        <v>277</v>
      </c>
      <c r="K6" s="271"/>
      <c r="L6" s="271"/>
      <c r="M6" s="271" t="s">
        <v>278</v>
      </c>
      <c r="N6" s="271"/>
      <c r="O6" s="271"/>
    </row>
    <row r="7" spans="1:15" x14ac:dyDescent="0.35">
      <c r="B7" s="273"/>
      <c r="C7" s="273"/>
      <c r="D7" s="18">
        <v>2020</v>
      </c>
      <c r="E7" s="18">
        <v>2021</v>
      </c>
      <c r="F7" s="18">
        <v>2022</v>
      </c>
      <c r="G7" s="18">
        <v>2020</v>
      </c>
      <c r="H7" s="18">
        <v>2021</v>
      </c>
      <c r="I7" s="18">
        <v>2022</v>
      </c>
      <c r="J7" s="18">
        <v>2020</v>
      </c>
      <c r="K7" s="18">
        <v>2021</v>
      </c>
      <c r="L7" s="18">
        <v>2022</v>
      </c>
      <c r="M7" s="18">
        <v>2020</v>
      </c>
      <c r="N7" s="18">
        <v>2021</v>
      </c>
      <c r="O7" s="18">
        <v>2022</v>
      </c>
    </row>
    <row r="8" spans="1:15" x14ac:dyDescent="0.35">
      <c r="B8" s="234" t="s">
        <v>330</v>
      </c>
      <c r="C8" s="234"/>
      <c r="D8" s="122">
        <f>D12+D10+D17+D19+D24+D26</f>
        <v>0</v>
      </c>
      <c r="E8" s="121"/>
      <c r="F8" s="121"/>
      <c r="G8" s="122">
        <f>G12+G10+G17+G19+G24+G26</f>
        <v>0</v>
      </c>
      <c r="H8" s="121"/>
      <c r="I8" s="121"/>
      <c r="J8" s="122">
        <f>J12+J10+J17+J19+J24+J26</f>
        <v>33.799999999999997</v>
      </c>
      <c r="K8" s="121"/>
      <c r="L8" s="121"/>
      <c r="M8" s="122">
        <f>M12+M10+M17+M19+M24+M26</f>
        <v>10.3</v>
      </c>
      <c r="N8" s="121"/>
      <c r="O8" s="121"/>
    </row>
    <row r="9" spans="1:15" x14ac:dyDescent="0.35">
      <c r="B9" s="234" t="s">
        <v>331</v>
      </c>
      <c r="C9" s="234"/>
      <c r="D9" s="122">
        <f>D15+D22+D29</f>
        <v>2</v>
      </c>
      <c r="E9" s="120"/>
      <c r="F9" s="120"/>
      <c r="G9" s="122">
        <f>G15+G22+G29</f>
        <v>0</v>
      </c>
      <c r="H9" s="120"/>
      <c r="I9" s="120"/>
      <c r="J9" s="122">
        <f>J15+J22+J29</f>
        <v>11</v>
      </c>
      <c r="K9" s="120"/>
      <c r="L9" s="120"/>
      <c r="M9" s="122">
        <f>M15+M22+M29</f>
        <v>2</v>
      </c>
      <c r="N9" s="120"/>
      <c r="O9" s="120"/>
    </row>
    <row r="10" spans="1:15" x14ac:dyDescent="0.35">
      <c r="B10" s="233" t="s">
        <v>279</v>
      </c>
      <c r="C10" s="147" t="s">
        <v>332</v>
      </c>
      <c r="D10" s="122">
        <v>0</v>
      </c>
      <c r="E10" s="120"/>
      <c r="F10" s="120"/>
      <c r="G10" s="122">
        <v>0</v>
      </c>
      <c r="H10" s="121"/>
      <c r="I10" s="121"/>
      <c r="J10" s="122">
        <v>0</v>
      </c>
      <c r="K10" s="121"/>
      <c r="L10" s="121"/>
      <c r="M10" s="122">
        <v>0</v>
      </c>
      <c r="N10" s="121"/>
      <c r="O10" s="121"/>
    </row>
    <row r="11" spans="1:15" x14ac:dyDescent="0.35">
      <c r="B11" s="233"/>
      <c r="C11" s="147" t="s">
        <v>333</v>
      </c>
      <c r="D11" s="122">
        <v>0</v>
      </c>
      <c r="E11" s="120"/>
      <c r="F11" s="120"/>
      <c r="G11" s="122">
        <v>0</v>
      </c>
      <c r="H11" s="121"/>
      <c r="I11" s="121"/>
      <c r="J11" s="122">
        <v>0</v>
      </c>
      <c r="K11" s="121"/>
      <c r="L11" s="121"/>
      <c r="M11" s="122">
        <v>0</v>
      </c>
      <c r="N11" s="121"/>
      <c r="O11" s="121"/>
    </row>
    <row r="12" spans="1:15" x14ac:dyDescent="0.35">
      <c r="B12" s="233"/>
      <c r="C12" s="147" t="s">
        <v>334</v>
      </c>
      <c r="D12" s="122">
        <v>0</v>
      </c>
      <c r="E12" s="120"/>
      <c r="F12" s="120"/>
      <c r="G12" s="122">
        <v>0</v>
      </c>
      <c r="H12" s="121"/>
      <c r="I12" s="121"/>
      <c r="J12" s="122">
        <v>0</v>
      </c>
      <c r="K12" s="121"/>
      <c r="L12" s="121"/>
      <c r="M12" s="122">
        <v>0</v>
      </c>
      <c r="N12" s="121"/>
      <c r="O12" s="121"/>
    </row>
    <row r="13" spans="1:15" x14ac:dyDescent="0.35">
      <c r="B13" s="233"/>
      <c r="C13" s="147" t="s">
        <v>335</v>
      </c>
      <c r="D13" s="122">
        <v>0</v>
      </c>
      <c r="E13" s="120"/>
      <c r="F13" s="120"/>
      <c r="G13" s="122">
        <v>0</v>
      </c>
      <c r="H13" s="121"/>
      <c r="I13" s="121"/>
      <c r="J13" s="122">
        <v>0</v>
      </c>
      <c r="K13" s="121"/>
      <c r="L13" s="121"/>
      <c r="M13" s="122">
        <v>0</v>
      </c>
      <c r="N13" s="121"/>
      <c r="O13" s="121"/>
    </row>
    <row r="14" spans="1:15" x14ac:dyDescent="0.35">
      <c r="B14" s="233"/>
      <c r="C14" s="147" t="s">
        <v>333</v>
      </c>
      <c r="D14" s="122">
        <v>0</v>
      </c>
      <c r="E14" s="120"/>
      <c r="F14" s="120"/>
      <c r="G14" s="122">
        <v>0</v>
      </c>
      <c r="H14" s="121"/>
      <c r="I14" s="121"/>
      <c r="J14" s="122">
        <v>0</v>
      </c>
      <c r="K14" s="121"/>
      <c r="L14" s="121"/>
      <c r="M14" s="122">
        <v>0</v>
      </c>
      <c r="N14" s="121"/>
      <c r="O14" s="121"/>
    </row>
    <row r="15" spans="1:15" x14ac:dyDescent="0.35">
      <c r="B15" s="233"/>
      <c r="C15" s="147" t="s">
        <v>336</v>
      </c>
      <c r="D15" s="122">
        <v>0</v>
      </c>
      <c r="E15" s="120"/>
      <c r="F15" s="120"/>
      <c r="G15" s="122">
        <v>0</v>
      </c>
      <c r="H15" s="121"/>
      <c r="I15" s="121"/>
      <c r="J15" s="122">
        <v>0</v>
      </c>
      <c r="K15" s="121"/>
      <c r="L15" s="121"/>
      <c r="M15" s="122">
        <v>0</v>
      </c>
      <c r="N15" s="121"/>
      <c r="O15" s="121"/>
    </row>
    <row r="16" spans="1:15" x14ac:dyDescent="0.35">
      <c r="B16" s="233"/>
      <c r="C16" s="147" t="s">
        <v>337</v>
      </c>
      <c r="D16" s="122">
        <v>0</v>
      </c>
      <c r="E16" s="120"/>
      <c r="F16" s="120"/>
      <c r="G16" s="122">
        <v>0</v>
      </c>
      <c r="H16" s="121"/>
      <c r="I16" s="121"/>
      <c r="J16" s="122">
        <v>0</v>
      </c>
      <c r="K16" s="121"/>
      <c r="L16" s="121"/>
      <c r="M16" s="122">
        <v>0</v>
      </c>
      <c r="N16" s="121"/>
      <c r="O16" s="121"/>
    </row>
    <row r="17" spans="2:15" x14ac:dyDescent="0.35">
      <c r="B17" s="233" t="s">
        <v>292</v>
      </c>
      <c r="C17" s="147" t="s">
        <v>338</v>
      </c>
      <c r="D17" s="122">
        <v>0</v>
      </c>
      <c r="E17" s="120"/>
      <c r="F17" s="120"/>
      <c r="G17" s="122">
        <v>0</v>
      </c>
      <c r="H17" s="121"/>
      <c r="I17" s="121"/>
      <c r="J17" s="122">
        <v>0</v>
      </c>
      <c r="K17" s="121"/>
      <c r="L17" s="121"/>
      <c r="M17" s="122">
        <v>0</v>
      </c>
      <c r="N17" s="121"/>
      <c r="O17" s="121"/>
    </row>
    <row r="18" spans="2:15" x14ac:dyDescent="0.35">
      <c r="B18" s="233"/>
      <c r="C18" s="147" t="s">
        <v>333</v>
      </c>
      <c r="D18" s="122">
        <v>0</v>
      </c>
      <c r="E18" s="120"/>
      <c r="F18" s="120"/>
      <c r="G18" s="122">
        <v>0</v>
      </c>
      <c r="H18" s="121"/>
      <c r="I18" s="121"/>
      <c r="J18" s="122">
        <v>0</v>
      </c>
      <c r="K18" s="121"/>
      <c r="L18" s="121"/>
      <c r="M18" s="122">
        <v>0</v>
      </c>
      <c r="N18" s="121"/>
      <c r="O18" s="121"/>
    </row>
    <row r="19" spans="2:15" x14ac:dyDescent="0.35">
      <c r="B19" s="233"/>
      <c r="C19" s="147" t="s">
        <v>334</v>
      </c>
      <c r="D19" s="122">
        <v>0</v>
      </c>
      <c r="E19" s="120"/>
      <c r="F19" s="120"/>
      <c r="G19" s="122">
        <v>0</v>
      </c>
      <c r="H19" s="121"/>
      <c r="I19" s="121"/>
      <c r="J19" s="122">
        <v>31.8</v>
      </c>
      <c r="K19" s="121"/>
      <c r="L19" s="121"/>
      <c r="M19" s="122">
        <v>10.3</v>
      </c>
      <c r="N19" s="121"/>
      <c r="O19" s="121"/>
    </row>
    <row r="20" spans="2:15" x14ac:dyDescent="0.35">
      <c r="B20" s="233"/>
      <c r="C20" s="147" t="s">
        <v>335</v>
      </c>
      <c r="D20" s="122">
        <v>0</v>
      </c>
      <c r="E20" s="120"/>
      <c r="F20" s="120"/>
      <c r="G20" s="122">
        <v>0</v>
      </c>
      <c r="H20" s="121"/>
      <c r="I20" s="121"/>
      <c r="J20" s="122">
        <v>14.5</v>
      </c>
      <c r="K20" s="121"/>
      <c r="L20" s="121"/>
      <c r="M20" s="122">
        <v>5.8</v>
      </c>
      <c r="N20" s="121"/>
      <c r="O20" s="121"/>
    </row>
    <row r="21" spans="2:15" x14ac:dyDescent="0.35">
      <c r="B21" s="233"/>
      <c r="C21" s="147" t="s">
        <v>333</v>
      </c>
      <c r="D21" s="122">
        <v>0</v>
      </c>
      <c r="E21" s="120"/>
      <c r="F21" s="120"/>
      <c r="G21" s="122">
        <v>0</v>
      </c>
      <c r="H21" s="121"/>
      <c r="I21" s="121"/>
      <c r="J21" s="122">
        <v>0</v>
      </c>
      <c r="K21" s="121"/>
      <c r="L21" s="121"/>
      <c r="M21" s="122">
        <v>0</v>
      </c>
      <c r="N21" s="121"/>
      <c r="O21" s="121"/>
    </row>
    <row r="22" spans="2:15" x14ac:dyDescent="0.35">
      <c r="B22" s="233"/>
      <c r="C22" s="147" t="s">
        <v>336</v>
      </c>
      <c r="D22" s="122">
        <v>2</v>
      </c>
      <c r="E22" s="120"/>
      <c r="F22" s="120"/>
      <c r="G22" s="122">
        <v>0</v>
      </c>
      <c r="H22" s="121"/>
      <c r="I22" s="121"/>
      <c r="J22" s="122">
        <v>8</v>
      </c>
      <c r="K22" s="121"/>
      <c r="L22" s="121"/>
      <c r="M22" s="122">
        <v>2</v>
      </c>
      <c r="N22" s="121"/>
      <c r="O22" s="121"/>
    </row>
    <row r="23" spans="2:15" x14ac:dyDescent="0.35">
      <c r="B23" s="233"/>
      <c r="C23" s="147" t="s">
        <v>337</v>
      </c>
      <c r="D23" s="122">
        <v>0</v>
      </c>
      <c r="E23" s="120"/>
      <c r="F23" s="120"/>
      <c r="G23" s="122">
        <v>0</v>
      </c>
      <c r="H23" s="121"/>
      <c r="I23" s="121"/>
      <c r="J23" s="122">
        <v>7</v>
      </c>
      <c r="K23" s="121"/>
      <c r="L23" s="121"/>
      <c r="M23" s="122">
        <v>1</v>
      </c>
      <c r="N23" s="121"/>
      <c r="O23" s="121"/>
    </row>
    <row r="24" spans="2:15" x14ac:dyDescent="0.35">
      <c r="B24" s="233" t="s">
        <v>293</v>
      </c>
      <c r="C24" s="147" t="s">
        <v>338</v>
      </c>
      <c r="D24" s="122">
        <v>0</v>
      </c>
      <c r="E24" s="120"/>
      <c r="F24" s="120"/>
      <c r="G24" s="122">
        <v>0</v>
      </c>
      <c r="H24" s="121"/>
      <c r="I24" s="121"/>
      <c r="J24" s="122">
        <v>0</v>
      </c>
      <c r="K24" s="121"/>
      <c r="L24" s="121"/>
      <c r="M24" s="122">
        <v>0</v>
      </c>
      <c r="N24" s="121"/>
      <c r="O24" s="121"/>
    </row>
    <row r="25" spans="2:15" x14ac:dyDescent="0.35">
      <c r="B25" s="233"/>
      <c r="C25" s="147" t="s">
        <v>333</v>
      </c>
      <c r="D25" s="122">
        <v>0</v>
      </c>
      <c r="E25" s="120"/>
      <c r="F25" s="120"/>
      <c r="G25" s="122">
        <v>0</v>
      </c>
      <c r="H25" s="121"/>
      <c r="I25" s="121"/>
      <c r="J25" s="122">
        <v>0</v>
      </c>
      <c r="K25" s="121"/>
      <c r="L25" s="121"/>
      <c r="M25" s="122">
        <v>0</v>
      </c>
      <c r="N25" s="121"/>
      <c r="O25" s="121"/>
    </row>
    <row r="26" spans="2:15" x14ac:dyDescent="0.35">
      <c r="B26" s="233"/>
      <c r="C26" s="147" t="s">
        <v>334</v>
      </c>
      <c r="D26" s="122">
        <v>0</v>
      </c>
      <c r="E26" s="120"/>
      <c r="F26" s="120"/>
      <c r="G26" s="122">
        <v>0</v>
      </c>
      <c r="H26" s="121"/>
      <c r="I26" s="121"/>
      <c r="J26" s="122">
        <v>2</v>
      </c>
      <c r="K26" s="121"/>
      <c r="L26" s="121"/>
      <c r="M26" s="122">
        <v>0</v>
      </c>
      <c r="N26" s="121"/>
      <c r="O26" s="121"/>
    </row>
    <row r="27" spans="2:15" x14ac:dyDescent="0.35">
      <c r="B27" s="233"/>
      <c r="C27" s="147" t="s">
        <v>335</v>
      </c>
      <c r="D27" s="122">
        <v>0</v>
      </c>
      <c r="E27" s="120"/>
      <c r="F27" s="120"/>
      <c r="G27" s="122">
        <v>0</v>
      </c>
      <c r="H27" s="121"/>
      <c r="I27" s="121"/>
      <c r="J27" s="122">
        <v>1</v>
      </c>
      <c r="K27" s="121"/>
      <c r="L27" s="121"/>
      <c r="M27" s="122">
        <v>0</v>
      </c>
      <c r="N27" s="121"/>
      <c r="O27" s="121"/>
    </row>
    <row r="28" spans="2:15" x14ac:dyDescent="0.35">
      <c r="B28" s="233"/>
      <c r="C28" s="147" t="s">
        <v>333</v>
      </c>
      <c r="D28" s="122">
        <v>0</v>
      </c>
      <c r="E28" s="120"/>
      <c r="F28" s="120"/>
      <c r="G28" s="122">
        <v>0</v>
      </c>
      <c r="H28" s="121"/>
      <c r="I28" s="121"/>
      <c r="J28" s="122">
        <v>0</v>
      </c>
      <c r="K28" s="121"/>
      <c r="L28" s="121"/>
      <c r="M28" s="122">
        <v>0</v>
      </c>
      <c r="N28" s="121"/>
      <c r="O28" s="121"/>
    </row>
    <row r="29" spans="2:15" x14ac:dyDescent="0.35">
      <c r="B29" s="233"/>
      <c r="C29" s="147" t="s">
        <v>336</v>
      </c>
      <c r="D29" s="122">
        <v>0</v>
      </c>
      <c r="E29" s="120"/>
      <c r="F29" s="120"/>
      <c r="G29" s="122">
        <v>0</v>
      </c>
      <c r="H29" s="121"/>
      <c r="I29" s="121"/>
      <c r="J29" s="122">
        <v>3</v>
      </c>
      <c r="K29" s="121"/>
      <c r="L29" s="121"/>
      <c r="M29" s="122">
        <v>0</v>
      </c>
      <c r="N29" s="121"/>
      <c r="O29" s="121"/>
    </row>
    <row r="30" spans="2:15" x14ac:dyDescent="0.35">
      <c r="B30" s="233"/>
      <c r="C30" s="147" t="s">
        <v>337</v>
      </c>
      <c r="D30" s="122">
        <v>0</v>
      </c>
      <c r="E30" s="120"/>
      <c r="F30" s="120"/>
      <c r="G30" s="122">
        <v>0</v>
      </c>
      <c r="H30" s="121"/>
      <c r="I30" s="121"/>
      <c r="J30" s="122">
        <v>1</v>
      </c>
      <c r="K30" s="121"/>
      <c r="L30" s="121"/>
      <c r="M30" s="122">
        <v>0</v>
      </c>
      <c r="N30" s="121"/>
      <c r="O30" s="121"/>
    </row>
    <row r="31" spans="2:15" s="40" customFormat="1" x14ac:dyDescent="0.35"/>
    <row r="32" spans="2:15" s="40" customFormat="1" x14ac:dyDescent="0.35"/>
    <row r="33" s="40" customFormat="1" x14ac:dyDescent="0.35"/>
    <row r="34" s="40" customFormat="1" x14ac:dyDescent="0.35"/>
    <row r="35" s="40" customFormat="1" x14ac:dyDescent="0.35"/>
    <row r="36" s="40" customFormat="1" x14ac:dyDescent="0.35"/>
    <row r="37" s="40" customFormat="1" x14ac:dyDescent="0.35"/>
    <row r="38" s="40" customFormat="1" x14ac:dyDescent="0.35"/>
    <row r="39" s="40" customFormat="1" x14ac:dyDescent="0.35"/>
    <row r="40" s="40" customFormat="1" x14ac:dyDescent="0.35"/>
    <row r="41" s="40" customFormat="1" x14ac:dyDescent="0.35"/>
    <row r="42" s="40" customFormat="1" x14ac:dyDescent="0.35"/>
    <row r="43" s="40" customFormat="1" x14ac:dyDescent="0.35"/>
    <row r="44" s="40" customFormat="1" x14ac:dyDescent="0.35"/>
    <row r="45" s="40" customFormat="1" x14ac:dyDescent="0.35"/>
    <row r="46" s="40" customFormat="1" x14ac:dyDescent="0.35"/>
    <row r="47" s="40" customFormat="1" x14ac:dyDescent="0.35"/>
    <row r="48" s="40" customFormat="1" x14ac:dyDescent="0.35"/>
    <row r="49" s="40" customFormat="1" x14ac:dyDescent="0.35"/>
    <row r="50" s="40" customFormat="1" x14ac:dyDescent="0.35"/>
    <row r="51" s="40" customFormat="1" x14ac:dyDescent="0.35"/>
    <row r="52" s="40" customFormat="1" x14ac:dyDescent="0.35"/>
    <row r="53" s="40" customFormat="1" x14ac:dyDescent="0.35"/>
    <row r="54" s="40" customFormat="1" x14ac:dyDescent="0.35"/>
    <row r="55" s="40" customFormat="1" x14ac:dyDescent="0.35"/>
    <row r="56" s="40" customFormat="1" x14ac:dyDescent="0.35"/>
    <row r="57" s="40" customFormat="1" x14ac:dyDescent="0.35"/>
    <row r="58" s="40" customFormat="1" x14ac:dyDescent="0.35"/>
    <row r="59" s="40" customFormat="1" x14ac:dyDescent="0.35"/>
    <row r="60" s="40" customFormat="1" x14ac:dyDescent="0.35"/>
    <row r="61" s="40" customFormat="1" x14ac:dyDescent="0.35"/>
    <row r="62" s="40" customFormat="1" x14ac:dyDescent="0.35"/>
    <row r="63" s="40" customFormat="1" x14ac:dyDescent="0.35"/>
    <row r="64" s="40" customFormat="1" x14ac:dyDescent="0.35"/>
    <row r="65" s="40" customFormat="1" x14ac:dyDescent="0.35"/>
    <row r="66" s="40" customFormat="1" x14ac:dyDescent="0.35"/>
    <row r="67" s="40" customFormat="1" x14ac:dyDescent="0.35"/>
    <row r="68" s="40" customFormat="1" x14ac:dyDescent="0.35"/>
    <row r="69" s="40" customFormat="1" x14ac:dyDescent="0.35"/>
    <row r="70" s="40" customFormat="1" x14ac:dyDescent="0.35"/>
    <row r="71" s="40" customFormat="1" x14ac:dyDescent="0.35"/>
    <row r="72" s="40" customFormat="1" x14ac:dyDescent="0.35"/>
    <row r="73" s="40" customFormat="1" x14ac:dyDescent="0.35"/>
    <row r="74" s="40" customFormat="1" x14ac:dyDescent="0.35"/>
    <row r="75" s="40" customFormat="1" x14ac:dyDescent="0.35"/>
    <row r="76" s="40" customFormat="1" x14ac:dyDescent="0.35"/>
    <row r="77" s="40" customFormat="1" x14ac:dyDescent="0.35"/>
    <row r="78" s="40" customFormat="1" x14ac:dyDescent="0.35"/>
    <row r="79" s="40" customFormat="1" x14ac:dyDescent="0.35"/>
    <row r="80" s="40" customFormat="1" x14ac:dyDescent="0.35"/>
    <row r="81" spans="2:4" s="40" customFormat="1" x14ac:dyDescent="0.35"/>
    <row r="82" spans="2:4" s="40" customFormat="1" x14ac:dyDescent="0.35"/>
    <row r="83" spans="2:4" s="40" customFormat="1" x14ac:dyDescent="0.35"/>
    <row r="84" spans="2:4" s="40" customFormat="1" x14ac:dyDescent="0.35"/>
    <row r="85" spans="2:4" s="40" customFormat="1" x14ac:dyDescent="0.35"/>
    <row r="86" spans="2:4" s="40" customFormat="1" x14ac:dyDescent="0.35"/>
    <row r="87" spans="2:4" s="40" customFormat="1" x14ac:dyDescent="0.35"/>
    <row r="88" spans="2:4" s="40" customFormat="1" x14ac:dyDescent="0.35"/>
    <row r="89" spans="2:4" s="40" customFormat="1" x14ac:dyDescent="0.35"/>
    <row r="90" spans="2:4" s="40" customFormat="1" x14ac:dyDescent="0.35"/>
    <row r="91" spans="2:4" s="40" customFormat="1" x14ac:dyDescent="0.35"/>
    <row r="92" spans="2:4" s="40" customFormat="1" x14ac:dyDescent="0.35"/>
    <row r="93" spans="2:4" s="40" customFormat="1" x14ac:dyDescent="0.35"/>
    <row r="94" spans="2:4" s="40" customFormat="1" x14ac:dyDescent="0.35"/>
    <row r="95" spans="2:4" x14ac:dyDescent="0.35">
      <c r="B95" s="40"/>
      <c r="C95" s="40"/>
      <c r="D95" s="40"/>
    </row>
    <row r="96" spans="2:4" x14ac:dyDescent="0.35">
      <c r="B96" s="40"/>
      <c r="C96" s="40"/>
      <c r="D96" s="40"/>
    </row>
    <row r="97" spans="2:4" x14ac:dyDescent="0.35">
      <c r="B97" s="40"/>
      <c r="C97" s="40"/>
      <c r="D97" s="40"/>
    </row>
    <row r="98" spans="2:4" x14ac:dyDescent="0.35">
      <c r="B98" s="40"/>
      <c r="C98" s="40"/>
      <c r="D98" s="40"/>
    </row>
    <row r="99" spans="2:4" x14ac:dyDescent="0.35">
      <c r="B99" s="40"/>
      <c r="C99" s="40"/>
      <c r="D99" s="40"/>
    </row>
    <row r="100" spans="2:4" x14ac:dyDescent="0.35">
      <c r="B100" s="40"/>
      <c r="C100" s="40"/>
      <c r="D100" s="40"/>
    </row>
    <row r="101" spans="2:4" x14ac:dyDescent="0.35">
      <c r="B101" s="40"/>
      <c r="C101" s="40"/>
      <c r="D101" s="40"/>
    </row>
    <row r="102" spans="2:4" x14ac:dyDescent="0.35">
      <c r="B102" s="40"/>
      <c r="C102" s="40"/>
      <c r="D102" s="40"/>
    </row>
    <row r="103" spans="2:4" x14ac:dyDescent="0.35">
      <c r="B103" s="40"/>
      <c r="C103" s="40"/>
      <c r="D103" s="40"/>
    </row>
    <row r="104" spans="2:4" x14ac:dyDescent="0.35">
      <c r="B104" s="40"/>
      <c r="C104" s="40"/>
      <c r="D104" s="40"/>
    </row>
    <row r="105" spans="2:4" x14ac:dyDescent="0.35">
      <c r="B105" s="40"/>
      <c r="C105" s="40"/>
      <c r="D105" s="40"/>
    </row>
    <row r="106" spans="2:4" x14ac:dyDescent="0.35">
      <c r="B106" s="40"/>
      <c r="C106" s="40"/>
      <c r="D106" s="40"/>
    </row>
    <row r="107" spans="2:4" x14ac:dyDescent="0.35">
      <c r="B107" s="40"/>
      <c r="C107" s="40"/>
      <c r="D107" s="40"/>
    </row>
    <row r="108" spans="2:4" x14ac:dyDescent="0.35">
      <c r="B108" s="40"/>
      <c r="C108" s="40"/>
      <c r="D108" s="40"/>
    </row>
    <row r="109" spans="2:4" x14ac:dyDescent="0.35">
      <c r="B109" s="40"/>
      <c r="C109" s="40"/>
      <c r="D109" s="40"/>
    </row>
  </sheetData>
  <mergeCells count="11">
    <mergeCell ref="M6:O6"/>
    <mergeCell ref="B6:B7"/>
    <mergeCell ref="C6:C7"/>
    <mergeCell ref="D6:F6"/>
    <mergeCell ref="G6:I6"/>
    <mergeCell ref="J6:L6"/>
    <mergeCell ref="B8:C8"/>
    <mergeCell ref="B9:C9"/>
    <mergeCell ref="B10:B16"/>
    <mergeCell ref="B17:B23"/>
    <mergeCell ref="B24:B3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157"/>
  <sheetViews>
    <sheetView workbookViewId="0">
      <selection activeCell="G4" sqref="G4"/>
    </sheetView>
  </sheetViews>
  <sheetFormatPr defaultRowHeight="14.5" x14ac:dyDescent="0.35"/>
  <cols>
    <col min="1" max="1" width="9.1796875" style="40"/>
    <col min="2" max="2" width="9.81640625" customWidth="1"/>
    <col min="3" max="3" width="21" customWidth="1"/>
    <col min="4" max="4" width="13.7265625" style="1" customWidth="1"/>
    <col min="5" max="5" width="12.7265625" style="1" customWidth="1"/>
    <col min="11" max="12" width="3.1796875" style="40" customWidth="1"/>
    <col min="13" max="45" width="9.1796875" style="40"/>
  </cols>
  <sheetData>
    <row r="1" spans="1:10" s="40" customFormat="1" ht="26" x14ac:dyDescent="0.6">
      <c r="A1" s="42" t="s">
        <v>125</v>
      </c>
      <c r="D1" s="39"/>
      <c r="E1" s="39"/>
    </row>
    <row r="2" spans="1:10" s="40" customFormat="1" x14ac:dyDescent="0.35">
      <c r="A2" s="40" t="s">
        <v>0</v>
      </c>
      <c r="B2" s="43" t="s">
        <v>68</v>
      </c>
      <c r="C2" s="40" t="s">
        <v>358</v>
      </c>
      <c r="D2" s="39"/>
      <c r="E2" s="39"/>
    </row>
    <row r="3" spans="1:10" s="40" customFormat="1" ht="15" customHeight="1" x14ac:dyDescent="0.35">
      <c r="A3" s="44" t="s">
        <v>76</v>
      </c>
      <c r="B3" s="43">
        <v>18</v>
      </c>
      <c r="C3" s="40" t="s">
        <v>864</v>
      </c>
      <c r="D3" s="39"/>
      <c r="E3" s="39"/>
    </row>
    <row r="4" spans="1:10" s="40" customFormat="1" x14ac:dyDescent="0.35">
      <c r="A4" s="159" t="s">
        <v>660</v>
      </c>
      <c r="B4" s="160"/>
      <c r="D4" s="274"/>
      <c r="E4" s="274"/>
    </row>
    <row r="5" spans="1:10" s="40" customFormat="1" ht="15" customHeight="1" x14ac:dyDescent="0.35">
      <c r="A5" s="159" t="s">
        <v>661</v>
      </c>
      <c r="B5" s="160"/>
      <c r="D5" s="274"/>
      <c r="E5" s="274"/>
    </row>
    <row r="6" spans="1:10" s="40" customFormat="1" x14ac:dyDescent="0.35">
      <c r="D6" s="39"/>
      <c r="E6" s="39"/>
    </row>
    <row r="7" spans="1:10" ht="15" customHeight="1" x14ac:dyDescent="0.35">
      <c r="B7" s="248" t="s">
        <v>254</v>
      </c>
      <c r="C7" s="249"/>
      <c r="D7" s="275" t="s">
        <v>681</v>
      </c>
      <c r="E7" s="275" t="s">
        <v>682</v>
      </c>
      <c r="F7" s="277" t="s">
        <v>96</v>
      </c>
      <c r="G7" s="277"/>
      <c r="H7" s="277"/>
      <c r="I7" s="277"/>
      <c r="J7" s="277"/>
    </row>
    <row r="8" spans="1:10" ht="45" customHeight="1" x14ac:dyDescent="0.35">
      <c r="B8" s="250"/>
      <c r="C8" s="251"/>
      <c r="D8" s="276"/>
      <c r="E8" s="276"/>
      <c r="F8" s="91" t="s">
        <v>97</v>
      </c>
      <c r="G8" s="91" t="s">
        <v>98</v>
      </c>
      <c r="H8" s="91" t="s">
        <v>99</v>
      </c>
      <c r="I8" s="91" t="s">
        <v>100</v>
      </c>
      <c r="J8" s="91" t="s">
        <v>101</v>
      </c>
    </row>
    <row r="9" spans="1:10" ht="15" customHeight="1" x14ac:dyDescent="0.35">
      <c r="B9" s="242" t="s">
        <v>102</v>
      </c>
      <c r="C9" s="94" t="s">
        <v>103</v>
      </c>
      <c r="D9" s="180">
        <f>'Table 11a-d'!J9</f>
        <v>1.2</v>
      </c>
      <c r="E9" s="182">
        <f>IF(D9=0,0,F9/SUM('Table 11a-d'!E9:I9))</f>
        <v>0.16666666666666666</v>
      </c>
      <c r="F9" s="112">
        <v>1</v>
      </c>
      <c r="G9" s="112">
        <v>1</v>
      </c>
      <c r="H9" s="112">
        <v>0</v>
      </c>
      <c r="I9" s="112">
        <v>0</v>
      </c>
      <c r="J9" s="112">
        <v>0</v>
      </c>
    </row>
    <row r="10" spans="1:10" x14ac:dyDescent="0.35">
      <c r="B10" s="243"/>
      <c r="C10" s="94" t="s">
        <v>104</v>
      </c>
      <c r="D10" s="180">
        <f>'Table 11a-d'!J10</f>
        <v>0</v>
      </c>
      <c r="E10" s="182">
        <f>IF(D10=0,0,F10/SUM('Table 11a-d'!E10:I10))</f>
        <v>0</v>
      </c>
      <c r="F10" s="112">
        <v>0</v>
      </c>
      <c r="G10" s="112">
        <v>0</v>
      </c>
      <c r="H10" s="112">
        <v>0</v>
      </c>
      <c r="I10" s="112">
        <v>0</v>
      </c>
      <c r="J10" s="112">
        <v>0</v>
      </c>
    </row>
    <row r="11" spans="1:10" x14ac:dyDescent="0.35">
      <c r="B11" s="243"/>
      <c r="C11" s="95" t="s">
        <v>64</v>
      </c>
      <c r="D11" s="180">
        <f>'Table 11a-d'!J11</f>
        <v>7.2</v>
      </c>
      <c r="E11" s="182">
        <f>IF(D11=0,0,F11/SUM('Table 11a-d'!E11:I11))</f>
        <v>0</v>
      </c>
      <c r="F11" s="112">
        <v>0</v>
      </c>
      <c r="G11" s="112">
        <v>0</v>
      </c>
      <c r="H11" s="112">
        <v>0</v>
      </c>
      <c r="I11" s="112">
        <v>0</v>
      </c>
      <c r="J11" s="112">
        <v>0</v>
      </c>
    </row>
    <row r="12" spans="1:10" x14ac:dyDescent="0.35">
      <c r="B12" s="243"/>
      <c r="C12" s="95" t="s">
        <v>662</v>
      </c>
      <c r="D12" s="180">
        <f>'Table 11a-d'!J12</f>
        <v>0.4</v>
      </c>
      <c r="E12" s="182">
        <f>IF(D12=0,0,F12/SUM('Table 11a-d'!E12:I12))</f>
        <v>0</v>
      </c>
      <c r="F12" s="112">
        <v>0</v>
      </c>
      <c r="G12" s="112">
        <v>0</v>
      </c>
      <c r="H12" s="112">
        <v>0</v>
      </c>
      <c r="I12" s="112">
        <v>0</v>
      </c>
      <c r="J12" s="112">
        <v>0</v>
      </c>
    </row>
    <row r="13" spans="1:10" x14ac:dyDescent="0.35">
      <c r="B13" s="243"/>
      <c r="C13" s="94" t="s">
        <v>260</v>
      </c>
      <c r="D13" s="180">
        <f>'Table 11a-d'!J13</f>
        <v>3.8</v>
      </c>
      <c r="E13" s="182">
        <f>IF(D13=0,0,F13/SUM('Table 11a-d'!E13:I13))</f>
        <v>0</v>
      </c>
      <c r="F13" s="112">
        <v>0</v>
      </c>
      <c r="G13" s="112">
        <v>0</v>
      </c>
      <c r="H13" s="112">
        <v>0</v>
      </c>
      <c r="I13" s="112">
        <v>0</v>
      </c>
      <c r="J13" s="112">
        <v>0</v>
      </c>
    </row>
    <row r="14" spans="1:10" x14ac:dyDescent="0.35">
      <c r="B14" s="244"/>
      <c r="C14" s="94" t="s">
        <v>105</v>
      </c>
      <c r="D14" s="180">
        <f>'Table 11a-d'!J14</f>
        <v>0.4</v>
      </c>
      <c r="E14" s="182">
        <f>IF(D14=0,0,F14/SUM('Table 11a-d'!E14:I14))</f>
        <v>0</v>
      </c>
      <c r="F14" s="112">
        <v>0</v>
      </c>
      <c r="G14" s="112">
        <v>0</v>
      </c>
      <c r="H14" s="112">
        <v>0</v>
      </c>
      <c r="I14" s="112">
        <v>0</v>
      </c>
      <c r="J14" s="112">
        <v>0</v>
      </c>
    </row>
    <row r="15" spans="1:10" ht="15" customHeight="1" x14ac:dyDescent="0.35">
      <c r="B15" s="239" t="s">
        <v>663</v>
      </c>
      <c r="C15" s="240"/>
      <c r="D15" s="180">
        <f>'Table 11a-d'!J15</f>
        <v>1.8</v>
      </c>
      <c r="E15" s="182">
        <f>IF(D15=0,0,F15/SUM('Table 11a-d'!E15:I15))</f>
        <v>0</v>
      </c>
      <c r="F15" s="112">
        <v>0</v>
      </c>
      <c r="G15" s="112">
        <v>0</v>
      </c>
      <c r="H15" s="112">
        <v>0</v>
      </c>
      <c r="I15" s="112">
        <v>0</v>
      </c>
      <c r="J15" s="112">
        <v>0</v>
      </c>
    </row>
    <row r="16" spans="1:10" ht="15" customHeight="1" x14ac:dyDescent="0.35">
      <c r="B16" s="242" t="s">
        <v>261</v>
      </c>
      <c r="C16" s="94" t="s">
        <v>664</v>
      </c>
      <c r="D16" s="180">
        <f>'Table 11a-d'!J16</f>
        <v>2.2000000000000002</v>
      </c>
      <c r="E16" s="182">
        <f>IF(D16=0,0,F16/SUM('Table 11a-d'!E16:I16))</f>
        <v>0</v>
      </c>
      <c r="F16" s="112">
        <v>0</v>
      </c>
      <c r="G16" s="112">
        <v>0</v>
      </c>
      <c r="H16" s="112">
        <v>0</v>
      </c>
      <c r="I16" s="112">
        <v>0</v>
      </c>
      <c r="J16" s="112">
        <v>0</v>
      </c>
    </row>
    <row r="17" spans="2:10" x14ac:dyDescent="0.35">
      <c r="B17" s="243"/>
      <c r="C17" s="94" t="s">
        <v>665</v>
      </c>
      <c r="D17" s="180">
        <f>'Table 11a-d'!J17</f>
        <v>0</v>
      </c>
      <c r="E17" s="182">
        <f>IF(D17=0,0,F17/SUM('Table 11a-d'!E17:I17))</f>
        <v>0</v>
      </c>
      <c r="F17" s="112">
        <v>0</v>
      </c>
      <c r="G17" s="112">
        <v>0</v>
      </c>
      <c r="H17" s="112">
        <v>0</v>
      </c>
      <c r="I17" s="112">
        <v>0</v>
      </c>
      <c r="J17" s="112">
        <v>0</v>
      </c>
    </row>
    <row r="18" spans="2:10" x14ac:dyDescent="0.35">
      <c r="B18" s="243"/>
      <c r="C18" s="94" t="s">
        <v>666</v>
      </c>
      <c r="D18" s="180">
        <f>'Table 11a-d'!J18</f>
        <v>0</v>
      </c>
      <c r="E18" s="182">
        <f>IF(D18=0,0,F18/SUM('Table 11a-d'!E18:I18))</f>
        <v>0</v>
      </c>
      <c r="F18" s="113">
        <v>0</v>
      </c>
      <c r="G18" s="113">
        <v>0</v>
      </c>
      <c r="H18" s="113">
        <v>0</v>
      </c>
      <c r="I18" s="113">
        <v>0</v>
      </c>
      <c r="J18" s="113">
        <v>0</v>
      </c>
    </row>
    <row r="19" spans="2:10" x14ac:dyDescent="0.35">
      <c r="B19" s="243"/>
      <c r="C19" s="94" t="s">
        <v>667</v>
      </c>
      <c r="D19" s="180">
        <f>'Table 11a-d'!J19</f>
        <v>0</v>
      </c>
      <c r="E19" s="182">
        <f>IF(D19=0,0,F19/SUM('Table 11a-d'!E19:I19))</f>
        <v>0</v>
      </c>
      <c r="F19" s="113">
        <v>0</v>
      </c>
      <c r="G19" s="113">
        <v>0</v>
      </c>
      <c r="H19" s="113">
        <v>0</v>
      </c>
      <c r="I19" s="113">
        <v>0</v>
      </c>
      <c r="J19" s="113">
        <v>0</v>
      </c>
    </row>
    <row r="20" spans="2:10" x14ac:dyDescent="0.35">
      <c r="B20" s="243"/>
      <c r="C20" s="94" t="s">
        <v>668</v>
      </c>
      <c r="D20" s="180">
        <f>'Table 11a-d'!J20</f>
        <v>0</v>
      </c>
      <c r="E20" s="182">
        <f>IF(D20=0,0,F20/SUM('Table 11a-d'!E20:I20))</f>
        <v>0</v>
      </c>
      <c r="F20" s="113">
        <v>0</v>
      </c>
      <c r="G20" s="113">
        <v>0</v>
      </c>
      <c r="H20" s="113">
        <v>0</v>
      </c>
      <c r="I20" s="113">
        <v>0</v>
      </c>
      <c r="J20" s="113">
        <v>0</v>
      </c>
    </row>
    <row r="21" spans="2:10" x14ac:dyDescent="0.35">
      <c r="B21" s="243"/>
      <c r="C21" s="94" t="s">
        <v>64</v>
      </c>
      <c r="D21" s="180">
        <f>'Table 11a-d'!J21</f>
        <v>1.4</v>
      </c>
      <c r="E21" s="182">
        <f>IF(D21=0,0,F21/SUM('Table 11a-d'!E21:I21))</f>
        <v>0</v>
      </c>
      <c r="F21" s="113">
        <v>0</v>
      </c>
      <c r="G21" s="113">
        <v>0</v>
      </c>
      <c r="H21" s="113">
        <v>0</v>
      </c>
      <c r="I21" s="113">
        <v>0</v>
      </c>
      <c r="J21" s="113">
        <v>0</v>
      </c>
    </row>
    <row r="22" spans="2:10" x14ac:dyDescent="0.35">
      <c r="B22" s="243"/>
      <c r="C22" s="94" t="s">
        <v>669</v>
      </c>
      <c r="D22" s="180">
        <f>'Table 11a-d'!J22</f>
        <v>0</v>
      </c>
      <c r="E22" s="182">
        <f>IF(D22=0,0,F22/SUM('Table 11a-d'!E22:I22))</f>
        <v>0</v>
      </c>
      <c r="F22" s="113">
        <v>0</v>
      </c>
      <c r="G22" s="113">
        <v>0</v>
      </c>
      <c r="H22" s="113">
        <v>0</v>
      </c>
      <c r="I22" s="113">
        <v>0</v>
      </c>
      <c r="J22" s="113">
        <v>0</v>
      </c>
    </row>
    <row r="23" spans="2:10" x14ac:dyDescent="0.35">
      <c r="B23" s="243"/>
      <c r="C23" s="94" t="s">
        <v>670</v>
      </c>
      <c r="D23" s="180">
        <f>'Table 11a-d'!J23</f>
        <v>0</v>
      </c>
      <c r="E23" s="182">
        <f>IF(D23=0,0,F23/SUM('Table 11a-d'!E23:I23))</f>
        <v>0</v>
      </c>
      <c r="F23" s="113">
        <v>0</v>
      </c>
      <c r="G23" s="113">
        <v>0</v>
      </c>
      <c r="H23" s="113">
        <v>0</v>
      </c>
      <c r="I23" s="113">
        <v>0</v>
      </c>
      <c r="J23" s="113">
        <v>0</v>
      </c>
    </row>
    <row r="24" spans="2:10" x14ac:dyDescent="0.35">
      <c r="B24" s="243"/>
      <c r="C24" s="94" t="s">
        <v>671</v>
      </c>
      <c r="D24" s="180">
        <f>'Table 11a-d'!J24</f>
        <v>0.2</v>
      </c>
      <c r="E24" s="182">
        <f>IF(D24=0,0,F24/SUM('Table 11a-d'!E24:I24))</f>
        <v>1</v>
      </c>
      <c r="F24" s="113">
        <v>1</v>
      </c>
      <c r="G24" s="113">
        <v>0</v>
      </c>
      <c r="H24" s="113">
        <v>0</v>
      </c>
      <c r="I24" s="113">
        <v>1</v>
      </c>
      <c r="J24" s="113">
        <v>0</v>
      </c>
    </row>
    <row r="25" spans="2:10" x14ac:dyDescent="0.35">
      <c r="B25" s="243"/>
      <c r="C25" s="94" t="s">
        <v>672</v>
      </c>
      <c r="D25" s="180">
        <f>'Table 11a-d'!J25</f>
        <v>0</v>
      </c>
      <c r="E25" s="182">
        <f>IF(D25=0,0,F25/SUM('Table 11a-d'!E25:I25))</f>
        <v>0</v>
      </c>
      <c r="F25" s="113">
        <v>0</v>
      </c>
      <c r="G25" s="113">
        <v>0</v>
      </c>
      <c r="H25" s="113">
        <v>0</v>
      </c>
      <c r="I25" s="113">
        <v>0</v>
      </c>
      <c r="J25" s="113">
        <v>0</v>
      </c>
    </row>
    <row r="26" spans="2:10" x14ac:dyDescent="0.35">
      <c r="B26" s="243"/>
      <c r="C26" s="94" t="s">
        <v>673</v>
      </c>
      <c r="D26" s="180">
        <f>'Table 11a-d'!J26</f>
        <v>0</v>
      </c>
      <c r="E26" s="182">
        <f>IF(D26=0,0,F26/SUM('Table 11a-d'!E26:I26))</f>
        <v>0</v>
      </c>
      <c r="F26" s="113">
        <v>0</v>
      </c>
      <c r="G26" s="113">
        <v>0</v>
      </c>
      <c r="H26" s="113">
        <v>0</v>
      </c>
      <c r="I26" s="113">
        <v>0</v>
      </c>
      <c r="J26" s="113">
        <v>0</v>
      </c>
    </row>
    <row r="27" spans="2:10" x14ac:dyDescent="0.35">
      <c r="B27" s="244"/>
      <c r="C27" s="94" t="s">
        <v>674</v>
      </c>
      <c r="D27" s="180">
        <f>'Table 11a-d'!J27</f>
        <v>0</v>
      </c>
      <c r="E27" s="182">
        <f>IF(D27=0,0,F27/SUM('Table 11a-d'!E27:I27))</f>
        <v>0</v>
      </c>
      <c r="F27" s="113">
        <v>0</v>
      </c>
      <c r="G27" s="113">
        <v>0</v>
      </c>
      <c r="H27" s="113">
        <v>0</v>
      </c>
      <c r="I27" s="113">
        <v>0</v>
      </c>
      <c r="J27" s="113">
        <v>0</v>
      </c>
    </row>
    <row r="28" spans="2:10" ht="15" customHeight="1" x14ac:dyDescent="0.35">
      <c r="B28" s="239" t="s">
        <v>675</v>
      </c>
      <c r="C28" s="240"/>
      <c r="D28" s="180">
        <f>'Table 11a-d'!J28</f>
        <v>1.4</v>
      </c>
      <c r="E28" s="182">
        <f>IF(D28=0,0,F28/SUM('Table 11a-d'!E28:I28))</f>
        <v>0</v>
      </c>
      <c r="F28" s="113">
        <v>0</v>
      </c>
      <c r="G28" s="113">
        <v>0</v>
      </c>
      <c r="H28" s="113">
        <v>0</v>
      </c>
      <c r="I28" s="113">
        <v>0</v>
      </c>
      <c r="J28" s="113">
        <v>0</v>
      </c>
    </row>
    <row r="29" spans="2:10" x14ac:dyDescent="0.35">
      <c r="B29" s="239" t="s">
        <v>64</v>
      </c>
      <c r="C29" s="240"/>
      <c r="D29" s="180">
        <f>'Table 11a-d'!J29</f>
        <v>13.2</v>
      </c>
      <c r="E29" s="182">
        <f>IF(D29=0,0,F29/SUM('Table 11a-d'!E29:I29))</f>
        <v>0</v>
      </c>
      <c r="F29" s="113">
        <v>0</v>
      </c>
      <c r="G29" s="113">
        <v>0</v>
      </c>
      <c r="H29" s="113">
        <v>0</v>
      </c>
      <c r="I29" s="113">
        <v>0</v>
      </c>
      <c r="J29" s="113">
        <v>0</v>
      </c>
    </row>
    <row r="30" spans="2:10" x14ac:dyDescent="0.35">
      <c r="B30" s="239" t="s">
        <v>662</v>
      </c>
      <c r="C30" s="240"/>
      <c r="D30" s="180">
        <f>'Table 11a-d'!J30</f>
        <v>22</v>
      </c>
      <c r="E30" s="182">
        <f>IF(D30=0,0,F30/SUM('Table 11a-d'!E30:I30))</f>
        <v>9.0909090909090905E-3</v>
      </c>
      <c r="F30" s="113">
        <v>1</v>
      </c>
      <c r="G30" s="113">
        <v>0</v>
      </c>
      <c r="H30" s="113">
        <v>0</v>
      </c>
      <c r="I30" s="113">
        <v>1</v>
      </c>
      <c r="J30" s="113">
        <v>0</v>
      </c>
    </row>
    <row r="31" spans="2:10" ht="15" customHeight="1" x14ac:dyDescent="0.35">
      <c r="B31" s="239" t="s">
        <v>676</v>
      </c>
      <c r="C31" s="240"/>
      <c r="D31" s="180">
        <f>'Table 11a-d'!J31</f>
        <v>0</v>
      </c>
      <c r="E31" s="182">
        <f>IF(D31=0,0,F31/SUM('Table 11a-d'!E31:I31))</f>
        <v>0</v>
      </c>
      <c r="F31" s="113">
        <v>0</v>
      </c>
      <c r="G31" s="113">
        <v>0</v>
      </c>
      <c r="H31" s="113">
        <v>0</v>
      </c>
      <c r="I31" s="113">
        <v>0</v>
      </c>
      <c r="J31" s="113">
        <v>0</v>
      </c>
    </row>
    <row r="32" spans="2:10" ht="15" customHeight="1" x14ac:dyDescent="0.35">
      <c r="B32" s="241" t="s">
        <v>677</v>
      </c>
      <c r="C32" s="241"/>
      <c r="D32" s="180">
        <f>'Table 11a-d'!J32</f>
        <v>0.4</v>
      </c>
      <c r="E32" s="182">
        <f>IF(D32=0,0,F32/SUM('Table 11a-d'!E32:I32))</f>
        <v>0</v>
      </c>
      <c r="F32" s="113">
        <v>0</v>
      </c>
      <c r="G32" s="113">
        <v>0</v>
      </c>
      <c r="H32" s="113">
        <v>0</v>
      </c>
      <c r="I32" s="113">
        <v>0</v>
      </c>
      <c r="J32" s="113">
        <v>0</v>
      </c>
    </row>
    <row r="33" spans="1:10" ht="15" customHeight="1" x14ac:dyDescent="0.35">
      <c r="B33" s="241" t="s">
        <v>678</v>
      </c>
      <c r="C33" s="241"/>
      <c r="D33" s="180">
        <f>'Table 11a-d'!J33</f>
        <v>0.4</v>
      </c>
      <c r="E33" s="182">
        <f>IF(D33=0,0,F33/SUM('Table 11a-d'!E33:I33))</f>
        <v>0</v>
      </c>
      <c r="F33" s="113">
        <v>0</v>
      </c>
      <c r="G33" s="113">
        <v>0</v>
      </c>
      <c r="H33" s="113">
        <v>0</v>
      </c>
      <c r="I33" s="113">
        <v>0</v>
      </c>
      <c r="J33" s="113">
        <v>0</v>
      </c>
    </row>
    <row r="34" spans="1:10" s="40" customFormat="1" x14ac:dyDescent="0.35">
      <c r="D34" s="39"/>
      <c r="E34" s="39"/>
    </row>
    <row r="35" spans="1:10" s="40" customFormat="1" x14ac:dyDescent="0.35">
      <c r="D35" s="39"/>
      <c r="E35" s="39"/>
    </row>
    <row r="36" spans="1:10" s="40" customFormat="1" x14ac:dyDescent="0.35">
      <c r="A36" s="40" t="s">
        <v>0</v>
      </c>
      <c r="B36" s="43" t="s">
        <v>68</v>
      </c>
      <c r="C36" s="40" t="s">
        <v>358</v>
      </c>
      <c r="D36" s="39"/>
      <c r="E36" s="39"/>
    </row>
    <row r="37" spans="1:10" s="40" customFormat="1" x14ac:dyDescent="0.35">
      <c r="A37" s="44" t="s">
        <v>76</v>
      </c>
      <c r="B37" s="43" t="s">
        <v>339</v>
      </c>
      <c r="C37" s="40" t="s">
        <v>865</v>
      </c>
      <c r="D37" s="39"/>
      <c r="E37" s="39"/>
    </row>
    <row r="38" spans="1:10" s="40" customFormat="1" x14ac:dyDescent="0.35">
      <c r="A38" s="159" t="s">
        <v>660</v>
      </c>
      <c r="B38" s="43"/>
      <c r="D38" s="39"/>
      <c r="E38" s="39"/>
    </row>
    <row r="39" spans="1:10" s="40" customFormat="1" ht="15" customHeight="1" x14ac:dyDescent="0.35">
      <c r="A39" s="159" t="s">
        <v>679</v>
      </c>
      <c r="B39" s="43"/>
      <c r="D39" s="39"/>
      <c r="E39" s="39"/>
    </row>
    <row r="40" spans="1:10" s="40" customFormat="1" x14ac:dyDescent="0.35">
      <c r="D40" s="39"/>
      <c r="E40" s="39"/>
    </row>
    <row r="41" spans="1:10" ht="15" customHeight="1" x14ac:dyDescent="0.35">
      <c r="B41" s="248" t="s">
        <v>254</v>
      </c>
      <c r="C41" s="249"/>
      <c r="D41" s="275" t="s">
        <v>681</v>
      </c>
      <c r="E41" s="275" t="s">
        <v>682</v>
      </c>
      <c r="F41" s="277" t="s">
        <v>96</v>
      </c>
      <c r="G41" s="277"/>
      <c r="H41" s="277"/>
      <c r="I41" s="277"/>
      <c r="J41" s="277"/>
    </row>
    <row r="42" spans="1:10" ht="44.25" customHeight="1" x14ac:dyDescent="0.35">
      <c r="B42" s="250"/>
      <c r="C42" s="251"/>
      <c r="D42" s="276"/>
      <c r="E42" s="276"/>
      <c r="F42" s="91" t="s">
        <v>97</v>
      </c>
      <c r="G42" s="91" t="s">
        <v>98</v>
      </c>
      <c r="H42" s="91" t="s">
        <v>99</v>
      </c>
      <c r="I42" s="91" t="s">
        <v>100</v>
      </c>
      <c r="J42" s="91" t="s">
        <v>101</v>
      </c>
    </row>
    <row r="43" spans="1:10" x14ac:dyDescent="0.35">
      <c r="B43" s="242" t="s">
        <v>102</v>
      </c>
      <c r="C43" s="94" t="s">
        <v>103</v>
      </c>
      <c r="D43" s="181">
        <f>'Table 11a-d'!J45</f>
        <v>43.2</v>
      </c>
      <c r="E43" s="182">
        <f>IF(D43=0,0,F43/SUM('Table 11a-d'!E45:I45))</f>
        <v>1.3888888888888888E-2</v>
      </c>
      <c r="F43" s="65">
        <v>3</v>
      </c>
      <c r="G43" s="65">
        <v>2</v>
      </c>
      <c r="H43" s="65">
        <v>0</v>
      </c>
      <c r="I43" s="65">
        <v>1</v>
      </c>
      <c r="J43" s="65">
        <v>0</v>
      </c>
    </row>
    <row r="44" spans="1:10" x14ac:dyDescent="0.35">
      <c r="B44" s="243"/>
      <c r="C44" s="94" t="s">
        <v>104</v>
      </c>
      <c r="D44" s="181">
        <f>'Table 11a-d'!J46</f>
        <v>0.6</v>
      </c>
      <c r="E44" s="182">
        <f>IF(D44=0,0,F44/SUM('Table 11a-d'!E46:I46))</f>
        <v>0</v>
      </c>
      <c r="F44" s="65">
        <v>0</v>
      </c>
      <c r="G44" s="65">
        <v>0</v>
      </c>
      <c r="H44" s="65">
        <v>0</v>
      </c>
      <c r="I44" s="65">
        <v>0</v>
      </c>
      <c r="J44" s="65">
        <v>0</v>
      </c>
    </row>
    <row r="45" spans="1:10" x14ac:dyDescent="0.35">
      <c r="B45" s="243"/>
      <c r="C45" s="95" t="s">
        <v>64</v>
      </c>
      <c r="D45" s="181">
        <f>'Table 11a-d'!J47</f>
        <v>42.8</v>
      </c>
      <c r="E45" s="182">
        <f>IF(D45=0,0,F45/SUM('Table 11a-d'!E47:I47))</f>
        <v>0</v>
      </c>
      <c r="F45" s="65">
        <v>0</v>
      </c>
      <c r="G45" s="65">
        <v>0</v>
      </c>
      <c r="H45" s="65">
        <v>0</v>
      </c>
      <c r="I45" s="65">
        <v>0</v>
      </c>
      <c r="J45" s="65">
        <v>0</v>
      </c>
    </row>
    <row r="46" spans="1:10" x14ac:dyDescent="0.35">
      <c r="B46" s="243"/>
      <c r="C46" s="95" t="s">
        <v>662</v>
      </c>
      <c r="D46" s="181">
        <f>'Table 11a-d'!J48</f>
        <v>2.8</v>
      </c>
      <c r="E46" s="182">
        <f>IF(D46=0,0,F46/SUM('Table 11a-d'!E48:I48))</f>
        <v>0</v>
      </c>
      <c r="F46" s="65">
        <v>0</v>
      </c>
      <c r="G46" s="65">
        <v>0</v>
      </c>
      <c r="H46" s="65">
        <v>0</v>
      </c>
      <c r="I46" s="65">
        <v>0</v>
      </c>
      <c r="J46" s="65">
        <v>0</v>
      </c>
    </row>
    <row r="47" spans="1:10" x14ac:dyDescent="0.35">
      <c r="B47" s="243"/>
      <c r="C47" s="94" t="s">
        <v>260</v>
      </c>
      <c r="D47" s="181">
        <f>'Table 11a-d'!J49</f>
        <v>131.4</v>
      </c>
      <c r="E47" s="182">
        <f>IF(D47=0,0,F47/SUM('Table 11a-d'!E49:I49))</f>
        <v>9.1324200913242004E-3</v>
      </c>
      <c r="F47" s="65">
        <v>6</v>
      </c>
      <c r="G47" s="65">
        <v>3</v>
      </c>
      <c r="H47" s="65">
        <v>0</v>
      </c>
      <c r="I47" s="65">
        <v>3</v>
      </c>
      <c r="J47" s="65">
        <v>0</v>
      </c>
    </row>
    <row r="48" spans="1:10" x14ac:dyDescent="0.35">
      <c r="B48" s="244"/>
      <c r="C48" s="94" t="s">
        <v>105</v>
      </c>
      <c r="D48" s="181">
        <f>'Table 11a-d'!J50</f>
        <v>12.4</v>
      </c>
      <c r="E48" s="182">
        <f>IF(D48=0,0,F48/SUM('Table 11a-d'!E50:I50))</f>
        <v>1.6129032258064516E-2</v>
      </c>
      <c r="F48" s="65">
        <v>1</v>
      </c>
      <c r="G48" s="65">
        <v>1</v>
      </c>
      <c r="H48" s="65">
        <v>0</v>
      </c>
      <c r="I48" s="65">
        <v>0</v>
      </c>
      <c r="J48" s="65">
        <v>0</v>
      </c>
    </row>
    <row r="49" spans="2:10" x14ac:dyDescent="0.35">
      <c r="B49" s="239" t="s">
        <v>663</v>
      </c>
      <c r="C49" s="240"/>
      <c r="D49" s="181">
        <f>'Table 11a-d'!J51</f>
        <v>3.8</v>
      </c>
      <c r="E49" s="182">
        <f>IF(D49=0,0,F49/SUM('Table 11a-d'!E51:I51))</f>
        <v>0</v>
      </c>
      <c r="F49" s="65">
        <v>0</v>
      </c>
      <c r="G49" s="65">
        <v>0</v>
      </c>
      <c r="H49" s="65">
        <v>0</v>
      </c>
      <c r="I49" s="65">
        <v>0</v>
      </c>
      <c r="J49" s="65">
        <v>0</v>
      </c>
    </row>
    <row r="50" spans="2:10" ht="15" customHeight="1" x14ac:dyDescent="0.35">
      <c r="B50" s="242" t="s">
        <v>261</v>
      </c>
      <c r="C50" s="94" t="s">
        <v>664</v>
      </c>
      <c r="D50" s="181">
        <f>'Table 11a-d'!J52</f>
        <v>32.6</v>
      </c>
      <c r="E50" s="182">
        <f>IF(D50=0,0,F50/SUM('Table 11a-d'!E52:I52))</f>
        <v>1.8404907975460124E-2</v>
      </c>
      <c r="F50" s="65">
        <v>3</v>
      </c>
      <c r="G50" s="65">
        <v>2</v>
      </c>
      <c r="H50" s="65">
        <v>0</v>
      </c>
      <c r="I50" s="65">
        <v>1</v>
      </c>
      <c r="J50" s="65">
        <v>0</v>
      </c>
    </row>
    <row r="51" spans="2:10" x14ac:dyDescent="0.35">
      <c r="B51" s="243"/>
      <c r="C51" s="94" t="s">
        <v>665</v>
      </c>
      <c r="D51" s="181">
        <f>'Table 11a-d'!J53</f>
        <v>4.2</v>
      </c>
      <c r="E51" s="182">
        <f>IF(D51=0,0,F51/SUM('Table 11a-d'!E53:I53))</f>
        <v>4.7619047619047616E-2</v>
      </c>
      <c r="F51" s="65">
        <v>1</v>
      </c>
      <c r="G51" s="65">
        <v>1</v>
      </c>
      <c r="H51" s="65">
        <v>0</v>
      </c>
      <c r="I51" s="65">
        <v>0</v>
      </c>
      <c r="J51" s="65">
        <v>0</v>
      </c>
    </row>
    <row r="52" spans="2:10" x14ac:dyDescent="0.35">
      <c r="B52" s="243"/>
      <c r="C52" s="94" t="s">
        <v>666</v>
      </c>
      <c r="D52" s="181">
        <f>'Table 11a-d'!J54</f>
        <v>130.6</v>
      </c>
      <c r="E52" s="182">
        <f>IF(D52=0,0,F52/SUM('Table 11a-d'!E54:I54))</f>
        <v>3.0627871362940277E-3</v>
      </c>
      <c r="F52" s="114">
        <v>2</v>
      </c>
      <c r="G52" s="114">
        <v>2</v>
      </c>
      <c r="H52" s="114">
        <v>0</v>
      </c>
      <c r="I52" s="114">
        <v>0</v>
      </c>
      <c r="J52" s="114">
        <v>0</v>
      </c>
    </row>
    <row r="53" spans="2:10" x14ac:dyDescent="0.35">
      <c r="B53" s="243"/>
      <c r="C53" s="94" t="s">
        <v>667</v>
      </c>
      <c r="D53" s="181">
        <f>'Table 11a-d'!J55</f>
        <v>4.2</v>
      </c>
      <c r="E53" s="182">
        <f>IF(D53=0,0,F53/SUM('Table 11a-d'!E55:I55))</f>
        <v>0</v>
      </c>
      <c r="F53" s="114">
        <v>0</v>
      </c>
      <c r="G53" s="114">
        <v>0</v>
      </c>
      <c r="H53" s="114">
        <v>0</v>
      </c>
      <c r="I53" s="114">
        <v>0</v>
      </c>
      <c r="J53" s="114">
        <v>0</v>
      </c>
    </row>
    <row r="54" spans="2:10" x14ac:dyDescent="0.35">
      <c r="B54" s="243"/>
      <c r="C54" s="94" t="s">
        <v>668</v>
      </c>
      <c r="D54" s="181">
        <f>'Table 11a-d'!J56</f>
        <v>11.4</v>
      </c>
      <c r="E54" s="182">
        <f>IF(D54=0,0,F54/SUM('Table 11a-d'!E56:I56))</f>
        <v>0</v>
      </c>
      <c r="F54" s="114">
        <v>0</v>
      </c>
      <c r="G54" s="114">
        <v>0</v>
      </c>
      <c r="H54" s="114">
        <v>0</v>
      </c>
      <c r="I54" s="114">
        <v>0</v>
      </c>
      <c r="J54" s="114">
        <v>0</v>
      </c>
    </row>
    <row r="55" spans="2:10" x14ac:dyDescent="0.35">
      <c r="B55" s="243"/>
      <c r="C55" s="94" t="s">
        <v>64</v>
      </c>
      <c r="D55" s="181">
        <f>'Table 11a-d'!J57</f>
        <v>21.8</v>
      </c>
      <c r="E55" s="182">
        <f>IF(D55=0,0,F55/SUM('Table 11a-d'!E57:I57))</f>
        <v>0</v>
      </c>
      <c r="F55" s="114">
        <v>0</v>
      </c>
      <c r="G55" s="114">
        <v>0</v>
      </c>
      <c r="H55" s="114">
        <v>0</v>
      </c>
      <c r="I55" s="114">
        <v>0</v>
      </c>
      <c r="J55" s="114">
        <v>0</v>
      </c>
    </row>
    <row r="56" spans="2:10" x14ac:dyDescent="0.35">
      <c r="B56" s="243"/>
      <c r="C56" s="94" t="s">
        <v>669</v>
      </c>
      <c r="D56" s="181">
        <f>'Table 11a-d'!J58</f>
        <v>5.8</v>
      </c>
      <c r="E56" s="182">
        <f>IF(D56=0,0,F56/SUM('Table 11a-d'!E58:I58))</f>
        <v>0</v>
      </c>
      <c r="F56" s="114">
        <v>0</v>
      </c>
      <c r="G56" s="114">
        <v>0</v>
      </c>
      <c r="H56" s="114">
        <v>0</v>
      </c>
      <c r="I56" s="114">
        <v>0</v>
      </c>
      <c r="J56" s="114">
        <v>0</v>
      </c>
    </row>
    <row r="57" spans="2:10" x14ac:dyDescent="0.35">
      <c r="B57" s="243"/>
      <c r="C57" s="94" t="s">
        <v>670</v>
      </c>
      <c r="D57" s="181">
        <f>'Table 11a-d'!J59</f>
        <v>0.2</v>
      </c>
      <c r="E57" s="182">
        <f>IF(D57=0,0,F57/SUM('Table 11a-d'!E59:I59))</f>
        <v>0</v>
      </c>
      <c r="F57" s="114">
        <v>0</v>
      </c>
      <c r="G57" s="114">
        <v>0</v>
      </c>
      <c r="H57" s="114">
        <v>0</v>
      </c>
      <c r="I57" s="114">
        <v>0</v>
      </c>
      <c r="J57" s="114">
        <v>0</v>
      </c>
    </row>
    <row r="58" spans="2:10" x14ac:dyDescent="0.35">
      <c r="B58" s="243"/>
      <c r="C58" s="94" t="s">
        <v>671</v>
      </c>
      <c r="D58" s="181">
        <f>'Table 11a-d'!J60</f>
        <v>81.8</v>
      </c>
      <c r="E58" s="182">
        <f>IF(D58=0,0,F58/SUM('Table 11a-d'!E60:I60))</f>
        <v>2.4449877750611247E-3</v>
      </c>
      <c r="F58" s="114">
        <v>1</v>
      </c>
      <c r="G58" s="114">
        <v>1</v>
      </c>
      <c r="H58" s="114">
        <v>0</v>
      </c>
      <c r="I58" s="114">
        <v>0</v>
      </c>
      <c r="J58" s="114">
        <v>0</v>
      </c>
    </row>
    <row r="59" spans="2:10" x14ac:dyDescent="0.35">
      <c r="B59" s="243"/>
      <c r="C59" s="94" t="s">
        <v>672</v>
      </c>
      <c r="D59" s="181">
        <f>'Table 11a-d'!J61</f>
        <v>0.4</v>
      </c>
      <c r="E59" s="182">
        <f>IF(D59=0,0,F59/SUM('Table 11a-d'!E61:I61))</f>
        <v>0</v>
      </c>
      <c r="F59" s="114">
        <v>0</v>
      </c>
      <c r="G59" s="114">
        <v>0</v>
      </c>
      <c r="H59" s="114">
        <v>0</v>
      </c>
      <c r="I59" s="114">
        <v>0</v>
      </c>
      <c r="J59" s="114">
        <v>0</v>
      </c>
    </row>
    <row r="60" spans="2:10" x14ac:dyDescent="0.35">
      <c r="B60" s="243"/>
      <c r="C60" s="94" t="s">
        <v>673</v>
      </c>
      <c r="D60" s="181">
        <f>'Table 11a-d'!J62</f>
        <v>45.2</v>
      </c>
      <c r="E60" s="182">
        <f>IF(D60=0,0,F60/SUM('Table 11a-d'!E62:I62))</f>
        <v>4.4247787610619468E-3</v>
      </c>
      <c r="F60" s="114">
        <v>1</v>
      </c>
      <c r="G60" s="114">
        <v>1</v>
      </c>
      <c r="H60" s="114">
        <v>0</v>
      </c>
      <c r="I60" s="114">
        <v>0</v>
      </c>
      <c r="J60" s="114">
        <v>0</v>
      </c>
    </row>
    <row r="61" spans="2:10" x14ac:dyDescent="0.35">
      <c r="B61" s="244"/>
      <c r="C61" s="94" t="s">
        <v>674</v>
      </c>
      <c r="D61" s="181">
        <f>'Table 11a-d'!J63</f>
        <v>0.2</v>
      </c>
      <c r="E61" s="182">
        <f>IF(D61=0,0,F61/SUM('Table 11a-d'!E63:I63))</f>
        <v>0</v>
      </c>
      <c r="F61" s="114">
        <v>0</v>
      </c>
      <c r="G61" s="114">
        <v>0</v>
      </c>
      <c r="H61" s="114">
        <v>0</v>
      </c>
      <c r="I61" s="114">
        <v>0</v>
      </c>
      <c r="J61" s="114">
        <v>0</v>
      </c>
    </row>
    <row r="62" spans="2:10" x14ac:dyDescent="0.35">
      <c r="B62" s="239" t="s">
        <v>675</v>
      </c>
      <c r="C62" s="240"/>
      <c r="D62" s="181">
        <f>'Table 11a-d'!J64</f>
        <v>21.6</v>
      </c>
      <c r="E62" s="182">
        <f>IF(D62=0,0,F62/SUM('Table 11a-d'!E64:I64))</f>
        <v>0</v>
      </c>
      <c r="F62" s="114">
        <v>0</v>
      </c>
      <c r="G62" s="114">
        <v>0</v>
      </c>
      <c r="H62" s="114">
        <v>0</v>
      </c>
      <c r="I62" s="114">
        <v>0</v>
      </c>
      <c r="J62" s="114">
        <v>0</v>
      </c>
    </row>
    <row r="63" spans="2:10" s="40" customFormat="1" x14ac:dyDescent="0.35">
      <c r="B63" s="260" t="s">
        <v>64</v>
      </c>
      <c r="C63" s="261"/>
      <c r="D63" s="181">
        <f>'Table 11a-d'!J65</f>
        <v>141.80000000000001</v>
      </c>
      <c r="E63" s="182">
        <f>IF(D63=0,0,F63/SUM('Table 11a-d'!E65:I65))</f>
        <v>1.4104372355430183E-3</v>
      </c>
      <c r="F63" s="114">
        <v>1</v>
      </c>
      <c r="G63" s="114">
        <v>1</v>
      </c>
      <c r="H63" s="114">
        <v>0</v>
      </c>
      <c r="I63" s="114">
        <v>0</v>
      </c>
      <c r="J63" s="114">
        <v>0</v>
      </c>
    </row>
    <row r="64" spans="2:10" s="40" customFormat="1" x14ac:dyDescent="0.35">
      <c r="B64" s="260" t="s">
        <v>662</v>
      </c>
      <c r="C64" s="261"/>
      <c r="D64" s="181">
        <f>'Table 11a-d'!J66</f>
        <v>105.8</v>
      </c>
      <c r="E64" s="182">
        <f>IF(D64=0,0,F64/SUM('Table 11a-d'!E66:I66))</f>
        <v>0</v>
      </c>
      <c r="F64" s="114">
        <v>0</v>
      </c>
      <c r="G64" s="114">
        <v>0</v>
      </c>
      <c r="H64" s="114">
        <v>0</v>
      </c>
      <c r="I64" s="114">
        <v>0</v>
      </c>
      <c r="J64" s="114">
        <v>0</v>
      </c>
    </row>
    <row r="65" spans="1:10" s="40" customFormat="1" x14ac:dyDescent="0.35">
      <c r="B65" s="260" t="s">
        <v>676</v>
      </c>
      <c r="C65" s="261"/>
      <c r="D65" s="181">
        <f>'Table 11a-d'!J67</f>
        <v>0.8</v>
      </c>
      <c r="E65" s="182">
        <f>IF(D65=0,0,F65/SUM('Table 11a-d'!E67:I67))</f>
        <v>0</v>
      </c>
      <c r="F65" s="114">
        <v>0</v>
      </c>
      <c r="G65" s="114">
        <v>0</v>
      </c>
      <c r="H65" s="114">
        <v>0</v>
      </c>
      <c r="I65" s="114">
        <v>0</v>
      </c>
      <c r="J65" s="114">
        <v>0</v>
      </c>
    </row>
    <row r="66" spans="1:10" s="40" customFormat="1" x14ac:dyDescent="0.35">
      <c r="B66" s="262" t="s">
        <v>677</v>
      </c>
      <c r="C66" s="262"/>
      <c r="D66" s="181">
        <f>'Table 11a-d'!J68</f>
        <v>8.8000000000000007</v>
      </c>
      <c r="E66" s="182">
        <f>IF(D66=0,0,F66/SUM('Table 11a-d'!E68:I68))</f>
        <v>0</v>
      </c>
      <c r="F66" s="114">
        <v>0</v>
      </c>
      <c r="G66" s="114">
        <v>0</v>
      </c>
      <c r="H66" s="114">
        <v>0</v>
      </c>
      <c r="I66" s="114">
        <v>0</v>
      </c>
      <c r="J66" s="114">
        <v>0</v>
      </c>
    </row>
    <row r="67" spans="1:10" s="40" customFormat="1" ht="15" customHeight="1" x14ac:dyDescent="0.35">
      <c r="B67" s="262" t="s">
        <v>678</v>
      </c>
      <c r="C67" s="262"/>
      <c r="D67" s="181">
        <f>'Table 11a-d'!J69</f>
        <v>4</v>
      </c>
      <c r="E67" s="182">
        <f>IF(D67=0,0,F67/SUM('Table 11a-d'!E69:I69))</f>
        <v>0.05</v>
      </c>
      <c r="F67" s="114">
        <v>1</v>
      </c>
      <c r="G67" s="114">
        <v>0</v>
      </c>
      <c r="H67" s="114">
        <v>0</v>
      </c>
      <c r="I67" s="114">
        <v>1</v>
      </c>
      <c r="J67" s="114">
        <v>0</v>
      </c>
    </row>
    <row r="68" spans="1:10" s="40" customFormat="1" x14ac:dyDescent="0.35">
      <c r="D68" s="39"/>
      <c r="E68" s="39"/>
    </row>
    <row r="69" spans="1:10" s="40" customFormat="1" x14ac:dyDescent="0.35">
      <c r="D69" s="39"/>
      <c r="E69" s="39"/>
    </row>
    <row r="70" spans="1:10" s="40" customFormat="1" x14ac:dyDescent="0.35">
      <c r="A70" s="40" t="s">
        <v>0</v>
      </c>
      <c r="B70" s="43" t="s">
        <v>68</v>
      </c>
      <c r="C70" s="40" t="s">
        <v>358</v>
      </c>
      <c r="D70" s="39"/>
      <c r="E70" s="39"/>
    </row>
    <row r="71" spans="1:10" s="40" customFormat="1" x14ac:dyDescent="0.35">
      <c r="A71" s="44" t="s">
        <v>76</v>
      </c>
      <c r="B71" s="43" t="s">
        <v>866</v>
      </c>
      <c r="C71" s="40" t="s">
        <v>867</v>
      </c>
      <c r="D71" s="39"/>
      <c r="E71" s="39"/>
    </row>
    <row r="72" spans="1:10" s="40" customFormat="1" ht="6.75" customHeight="1" x14ac:dyDescent="0.35">
      <c r="D72" s="39"/>
      <c r="E72" s="39"/>
    </row>
    <row r="73" spans="1:10" s="40" customFormat="1" x14ac:dyDescent="0.35">
      <c r="A73" s="159" t="s">
        <v>683</v>
      </c>
      <c r="B73" s="160"/>
      <c r="D73" s="39"/>
      <c r="E73" s="39"/>
    </row>
    <row r="74" spans="1:10" s="40" customFormat="1" x14ac:dyDescent="0.35">
      <c r="A74" s="159" t="s">
        <v>661</v>
      </c>
      <c r="B74" s="160"/>
      <c r="D74" s="39"/>
      <c r="E74" s="39"/>
    </row>
    <row r="75" spans="1:10" s="40" customFormat="1" ht="15" customHeight="1" x14ac:dyDescent="0.35">
      <c r="D75" s="39"/>
      <c r="E75" s="39"/>
    </row>
    <row r="76" spans="1:10" ht="15" customHeight="1" x14ac:dyDescent="0.35">
      <c r="B76" s="248" t="s">
        <v>254</v>
      </c>
      <c r="C76" s="249"/>
      <c r="D76" s="275" t="s">
        <v>681</v>
      </c>
      <c r="E76" s="275" t="s">
        <v>682</v>
      </c>
      <c r="F76" s="277" t="s">
        <v>96</v>
      </c>
      <c r="G76" s="277"/>
      <c r="H76" s="277"/>
      <c r="I76" s="277"/>
      <c r="J76" s="277"/>
    </row>
    <row r="77" spans="1:10" ht="46.5" customHeight="1" x14ac:dyDescent="0.35">
      <c r="B77" s="250"/>
      <c r="C77" s="251"/>
      <c r="D77" s="276"/>
      <c r="E77" s="276"/>
      <c r="F77" s="91" t="s">
        <v>97</v>
      </c>
      <c r="G77" s="91" t="s">
        <v>98</v>
      </c>
      <c r="H77" s="91" t="s">
        <v>99</v>
      </c>
      <c r="I77" s="91" t="s">
        <v>100</v>
      </c>
      <c r="J77" s="91" t="s">
        <v>101</v>
      </c>
    </row>
    <row r="78" spans="1:10" x14ac:dyDescent="0.35">
      <c r="B78" s="242" t="s">
        <v>102</v>
      </c>
      <c r="C78" s="94" t="s">
        <v>103</v>
      </c>
      <c r="D78" s="187">
        <f>'Table 11a-d'!J80</f>
        <v>1</v>
      </c>
      <c r="E78" s="182">
        <f>IF(D78=0,0,F78/SUM('Table 11a-d'!E80:I80))</f>
        <v>0.2</v>
      </c>
      <c r="F78" s="112">
        <v>1</v>
      </c>
      <c r="G78" s="112">
        <v>1</v>
      </c>
      <c r="H78" s="112">
        <v>0</v>
      </c>
      <c r="I78" s="112">
        <v>0</v>
      </c>
      <c r="J78" s="112">
        <v>0</v>
      </c>
    </row>
    <row r="79" spans="1:10" x14ac:dyDescent="0.35">
      <c r="B79" s="243"/>
      <c r="C79" s="94" t="s">
        <v>104</v>
      </c>
      <c r="D79" s="187">
        <f>'Table 11a-d'!J81</f>
        <v>0</v>
      </c>
      <c r="E79" s="182">
        <f>IF(D79=0,0,F79/SUM('Table 11a-d'!E81:I81))</f>
        <v>0</v>
      </c>
      <c r="F79" s="112">
        <v>0</v>
      </c>
      <c r="G79" s="112">
        <v>0</v>
      </c>
      <c r="H79" s="112">
        <v>0</v>
      </c>
      <c r="I79" s="112">
        <v>0</v>
      </c>
      <c r="J79" s="112">
        <v>0</v>
      </c>
    </row>
    <row r="80" spans="1:10" x14ac:dyDescent="0.35">
      <c r="B80" s="243"/>
      <c r="C80" s="95" t="s">
        <v>64</v>
      </c>
      <c r="D80" s="187">
        <f>'Table 11a-d'!J82</f>
        <v>6.2</v>
      </c>
      <c r="E80" s="182">
        <f>IF(D80=0,0,F80/SUM('Table 11a-d'!E82:I82))</f>
        <v>0</v>
      </c>
      <c r="F80" s="112">
        <v>0</v>
      </c>
      <c r="G80" s="112">
        <v>0</v>
      </c>
      <c r="H80" s="112">
        <v>0</v>
      </c>
      <c r="I80" s="112">
        <v>0</v>
      </c>
      <c r="J80" s="112">
        <v>0</v>
      </c>
    </row>
    <row r="81" spans="2:10" x14ac:dyDescent="0.35">
      <c r="B81" s="243"/>
      <c r="C81" s="95" t="s">
        <v>662</v>
      </c>
      <c r="D81" s="187">
        <f>'Table 11a-d'!J83</f>
        <v>0.2</v>
      </c>
      <c r="E81" s="182">
        <f>IF(D81=0,0,F81/SUM('Table 11a-d'!E83:I83))</f>
        <v>0</v>
      </c>
      <c r="F81" s="112">
        <v>0</v>
      </c>
      <c r="G81" s="112">
        <v>0</v>
      </c>
      <c r="H81" s="112">
        <v>0</v>
      </c>
      <c r="I81" s="112">
        <v>0</v>
      </c>
      <c r="J81" s="112">
        <v>0</v>
      </c>
    </row>
    <row r="82" spans="2:10" x14ac:dyDescent="0.35">
      <c r="B82" s="243"/>
      <c r="C82" s="94" t="s">
        <v>260</v>
      </c>
      <c r="D82" s="187">
        <f>'Table 11a-d'!J84</f>
        <v>0.8</v>
      </c>
      <c r="E82" s="182">
        <f>IF(D82=0,0,F82/SUM('Table 11a-d'!E84:I84))</f>
        <v>0</v>
      </c>
      <c r="F82" s="112">
        <v>0</v>
      </c>
      <c r="G82" s="112">
        <v>0</v>
      </c>
      <c r="H82" s="112">
        <v>0</v>
      </c>
      <c r="I82" s="112">
        <v>0</v>
      </c>
      <c r="J82" s="112">
        <v>0</v>
      </c>
    </row>
    <row r="83" spans="2:10" x14ac:dyDescent="0.35">
      <c r="B83" s="244"/>
      <c r="C83" s="94" t="s">
        <v>105</v>
      </c>
      <c r="D83" s="187">
        <f>'Table 11a-d'!J85</f>
        <v>0.2</v>
      </c>
      <c r="E83" s="182">
        <f>IF(D83=0,0,F83/SUM('Table 11a-d'!E85:I85))</f>
        <v>0</v>
      </c>
      <c r="F83" s="112">
        <v>0</v>
      </c>
      <c r="G83" s="112">
        <v>0</v>
      </c>
      <c r="H83" s="112">
        <v>0</v>
      </c>
      <c r="I83" s="112">
        <v>0</v>
      </c>
      <c r="J83" s="112">
        <v>0</v>
      </c>
    </row>
    <row r="84" spans="2:10" x14ac:dyDescent="0.35">
      <c r="B84" s="239" t="s">
        <v>663</v>
      </c>
      <c r="C84" s="240"/>
      <c r="D84" s="187">
        <f>'Table 11a-d'!J86</f>
        <v>1.8</v>
      </c>
      <c r="E84" s="182">
        <f>IF(D84=0,0,F84/SUM('Table 11a-d'!E86:I86))</f>
        <v>0</v>
      </c>
      <c r="F84" s="112">
        <v>0</v>
      </c>
      <c r="G84" s="112">
        <v>0</v>
      </c>
      <c r="H84" s="112">
        <v>0</v>
      </c>
      <c r="I84" s="112">
        <v>0</v>
      </c>
      <c r="J84" s="112">
        <v>0</v>
      </c>
    </row>
    <row r="85" spans="2:10" ht="15" customHeight="1" x14ac:dyDescent="0.35">
      <c r="B85" s="242" t="s">
        <v>261</v>
      </c>
      <c r="C85" s="94" t="s">
        <v>664</v>
      </c>
      <c r="D85" s="187">
        <f>'Table 11a-d'!J87</f>
        <v>0.2</v>
      </c>
      <c r="E85" s="182">
        <f>IF(D85=0,0,F85/SUM('Table 11a-d'!E87:I87))</f>
        <v>0</v>
      </c>
      <c r="F85" s="112">
        <v>0</v>
      </c>
      <c r="G85" s="112">
        <v>0</v>
      </c>
      <c r="H85" s="112">
        <v>0</v>
      </c>
      <c r="I85" s="112">
        <v>0</v>
      </c>
      <c r="J85" s="112">
        <v>0</v>
      </c>
    </row>
    <row r="86" spans="2:10" x14ac:dyDescent="0.35">
      <c r="B86" s="243"/>
      <c r="C86" s="94" t="s">
        <v>665</v>
      </c>
      <c r="D86" s="187">
        <f>'Table 11a-d'!J88</f>
        <v>0</v>
      </c>
      <c r="E86" s="182">
        <f>IF(D86=0,0,F86/SUM('Table 11a-d'!E88:I88))</f>
        <v>0</v>
      </c>
      <c r="F86" s="112">
        <v>0</v>
      </c>
      <c r="G86" s="112">
        <v>0</v>
      </c>
      <c r="H86" s="112">
        <v>0</v>
      </c>
      <c r="I86" s="112">
        <v>0</v>
      </c>
      <c r="J86" s="112">
        <v>0</v>
      </c>
    </row>
    <row r="87" spans="2:10" x14ac:dyDescent="0.35">
      <c r="B87" s="243"/>
      <c r="C87" s="94" t="s">
        <v>666</v>
      </c>
      <c r="D87" s="187">
        <f>'Table 11a-d'!J89</f>
        <v>0</v>
      </c>
      <c r="E87" s="182">
        <f>IF(D87=0,0,F87/SUM('Table 11a-d'!E89:I89))</f>
        <v>0</v>
      </c>
      <c r="F87" s="113">
        <v>0</v>
      </c>
      <c r="G87" s="113">
        <v>0</v>
      </c>
      <c r="H87" s="113">
        <v>0</v>
      </c>
      <c r="I87" s="113">
        <v>0</v>
      </c>
      <c r="J87" s="113">
        <v>0</v>
      </c>
    </row>
    <row r="88" spans="2:10" x14ac:dyDescent="0.35">
      <c r="B88" s="243"/>
      <c r="C88" s="94" t="s">
        <v>667</v>
      </c>
      <c r="D88" s="187">
        <f>'Table 11a-d'!J90</f>
        <v>0</v>
      </c>
      <c r="E88" s="182">
        <f>IF(D88=0,0,F88/SUM('Table 11a-d'!E90:I90))</f>
        <v>0</v>
      </c>
      <c r="F88" s="113">
        <v>0</v>
      </c>
      <c r="G88" s="113">
        <v>0</v>
      </c>
      <c r="H88" s="113">
        <v>0</v>
      </c>
      <c r="I88" s="113">
        <v>0</v>
      </c>
      <c r="J88" s="113">
        <v>0</v>
      </c>
    </row>
    <row r="89" spans="2:10" x14ac:dyDescent="0.35">
      <c r="B89" s="243"/>
      <c r="C89" s="94" t="s">
        <v>668</v>
      </c>
      <c r="D89" s="187">
        <f>'Table 11a-d'!J91</f>
        <v>0</v>
      </c>
      <c r="E89" s="182">
        <f>IF(D89=0,0,F89/SUM('Table 11a-d'!E91:I91))</f>
        <v>0</v>
      </c>
      <c r="F89" s="113">
        <v>0</v>
      </c>
      <c r="G89" s="113">
        <v>0</v>
      </c>
      <c r="H89" s="113">
        <v>0</v>
      </c>
      <c r="I89" s="113">
        <v>0</v>
      </c>
      <c r="J89" s="113">
        <v>0</v>
      </c>
    </row>
    <row r="90" spans="2:10" x14ac:dyDescent="0.35">
      <c r="B90" s="243"/>
      <c r="C90" s="94" t="s">
        <v>64</v>
      </c>
      <c r="D90" s="187">
        <f>'Table 11a-d'!J92</f>
        <v>0</v>
      </c>
      <c r="E90" s="182">
        <f>IF(D90=0,0,F90/SUM('Table 11a-d'!E92:I92))</f>
        <v>0</v>
      </c>
      <c r="F90" s="113">
        <v>0</v>
      </c>
      <c r="G90" s="113">
        <v>0</v>
      </c>
      <c r="H90" s="113">
        <v>0</v>
      </c>
      <c r="I90" s="113">
        <v>0</v>
      </c>
      <c r="J90" s="113">
        <v>0</v>
      </c>
    </row>
    <row r="91" spans="2:10" x14ac:dyDescent="0.35">
      <c r="B91" s="243"/>
      <c r="C91" s="94" t="s">
        <v>669</v>
      </c>
      <c r="D91" s="187">
        <f>'Table 11a-d'!J93</f>
        <v>0</v>
      </c>
      <c r="E91" s="182">
        <f>IF(D91=0,0,F91/SUM('Table 11a-d'!E93:I93))</f>
        <v>0</v>
      </c>
      <c r="F91" s="113">
        <v>0</v>
      </c>
      <c r="G91" s="113">
        <v>0</v>
      </c>
      <c r="H91" s="113">
        <v>0</v>
      </c>
      <c r="I91" s="113">
        <v>0</v>
      </c>
      <c r="J91" s="113">
        <v>0</v>
      </c>
    </row>
    <row r="92" spans="2:10" x14ac:dyDescent="0.35">
      <c r="B92" s="243"/>
      <c r="C92" s="94" t="s">
        <v>670</v>
      </c>
      <c r="D92" s="187">
        <f>'Table 11a-d'!J94</f>
        <v>0</v>
      </c>
      <c r="E92" s="182">
        <f>IF(D92=0,0,F92/SUM('Table 11a-d'!E94:I94))</f>
        <v>0</v>
      </c>
      <c r="F92" s="113">
        <v>0</v>
      </c>
      <c r="G92" s="113">
        <v>0</v>
      </c>
      <c r="H92" s="113">
        <v>0</v>
      </c>
      <c r="I92" s="113">
        <v>0</v>
      </c>
      <c r="J92" s="113">
        <v>0</v>
      </c>
    </row>
    <row r="93" spans="2:10" x14ac:dyDescent="0.35">
      <c r="B93" s="243"/>
      <c r="C93" s="94" t="s">
        <v>671</v>
      </c>
      <c r="D93" s="187">
        <f>'Table 11a-d'!J95</f>
        <v>0.2</v>
      </c>
      <c r="E93" s="182">
        <f>IF(D93=0,0,F93/SUM('Table 11a-d'!E95:I95))</f>
        <v>1</v>
      </c>
      <c r="F93" s="113">
        <v>1</v>
      </c>
      <c r="G93" s="113">
        <v>0</v>
      </c>
      <c r="H93" s="113">
        <v>0</v>
      </c>
      <c r="I93" s="113">
        <v>1</v>
      </c>
      <c r="J93" s="113">
        <v>0</v>
      </c>
    </row>
    <row r="94" spans="2:10" x14ac:dyDescent="0.35">
      <c r="B94" s="243"/>
      <c r="C94" s="94" t="s">
        <v>672</v>
      </c>
      <c r="D94" s="187">
        <f>'Table 11a-d'!J96</f>
        <v>0</v>
      </c>
      <c r="E94" s="182">
        <f>IF(D94=0,0,F94/SUM('Table 11a-d'!E96:I96))</f>
        <v>0</v>
      </c>
      <c r="F94" s="113">
        <v>0</v>
      </c>
      <c r="G94" s="113">
        <v>0</v>
      </c>
      <c r="H94" s="113">
        <v>0</v>
      </c>
      <c r="I94" s="113">
        <v>0</v>
      </c>
      <c r="J94" s="113">
        <v>0</v>
      </c>
    </row>
    <row r="95" spans="2:10" x14ac:dyDescent="0.35">
      <c r="B95" s="243"/>
      <c r="C95" s="94" t="s">
        <v>673</v>
      </c>
      <c r="D95" s="187">
        <f>'Table 11a-d'!J97</f>
        <v>0</v>
      </c>
      <c r="E95" s="182">
        <f>IF(D95=0,0,F95/SUM('Table 11a-d'!E97:I97))</f>
        <v>0</v>
      </c>
      <c r="F95" s="113">
        <v>0</v>
      </c>
      <c r="G95" s="113">
        <v>0</v>
      </c>
      <c r="H95" s="113">
        <v>0</v>
      </c>
      <c r="I95" s="113">
        <v>0</v>
      </c>
      <c r="J95" s="113">
        <v>0</v>
      </c>
    </row>
    <row r="96" spans="2:10" x14ac:dyDescent="0.35">
      <c r="B96" s="244"/>
      <c r="C96" s="94" t="s">
        <v>674</v>
      </c>
      <c r="D96" s="187">
        <f>'Table 11a-d'!J98</f>
        <v>0</v>
      </c>
      <c r="E96" s="182">
        <f>IF(D96=0,0,F96/SUM('Table 11a-d'!E98:I98))</f>
        <v>0</v>
      </c>
      <c r="F96" s="113">
        <v>0</v>
      </c>
      <c r="G96" s="113">
        <v>0</v>
      </c>
      <c r="H96" s="113">
        <v>0</v>
      </c>
      <c r="I96" s="113">
        <v>0</v>
      </c>
      <c r="J96" s="113">
        <v>0</v>
      </c>
    </row>
    <row r="97" spans="1:10" x14ac:dyDescent="0.35">
      <c r="B97" s="239" t="s">
        <v>675</v>
      </c>
      <c r="C97" s="240"/>
      <c r="D97" s="187">
        <f>'Table 11a-d'!J99</f>
        <v>0.6</v>
      </c>
      <c r="E97" s="182">
        <f>IF(D97=0,0,F97/SUM('Table 11a-d'!E99:I99))</f>
        <v>0</v>
      </c>
      <c r="F97" s="113">
        <v>0</v>
      </c>
      <c r="G97" s="113">
        <v>0</v>
      </c>
      <c r="H97" s="113">
        <v>0</v>
      </c>
      <c r="I97" s="113">
        <v>0</v>
      </c>
      <c r="J97" s="113">
        <v>0</v>
      </c>
    </row>
    <row r="98" spans="1:10" x14ac:dyDescent="0.35">
      <c r="B98" s="239" t="s">
        <v>64</v>
      </c>
      <c r="C98" s="240"/>
      <c r="D98" s="187">
        <f>'Table 11a-d'!J100</f>
        <v>2.2000000000000002</v>
      </c>
      <c r="E98" s="182">
        <f>IF(D98=0,0,F98/SUM('Table 11a-d'!E100:I100))</f>
        <v>0</v>
      </c>
      <c r="F98" s="113">
        <v>0</v>
      </c>
      <c r="G98" s="113">
        <v>0</v>
      </c>
      <c r="H98" s="113">
        <v>0</v>
      </c>
      <c r="I98" s="113">
        <v>0</v>
      </c>
      <c r="J98" s="113">
        <v>0</v>
      </c>
    </row>
    <row r="99" spans="1:10" x14ac:dyDescent="0.35">
      <c r="B99" s="239" t="s">
        <v>662</v>
      </c>
      <c r="C99" s="240"/>
      <c r="D99" s="187">
        <f>'Table 11a-d'!J101</f>
        <v>5.6</v>
      </c>
      <c r="E99" s="182">
        <f>IF(D99=0,0,F99/SUM('Table 11a-d'!E101:I101))</f>
        <v>3.5714285714285712E-2</v>
      </c>
      <c r="F99" s="113">
        <v>1</v>
      </c>
      <c r="G99" s="113">
        <v>0</v>
      </c>
      <c r="H99" s="113">
        <v>0</v>
      </c>
      <c r="I99" s="113">
        <v>1</v>
      </c>
      <c r="J99" s="113">
        <v>0</v>
      </c>
    </row>
    <row r="100" spans="1:10" x14ac:dyDescent="0.35">
      <c r="B100" s="239" t="s">
        <v>676</v>
      </c>
      <c r="C100" s="240"/>
      <c r="D100" s="187">
        <f>'Table 11a-d'!J102</f>
        <v>0</v>
      </c>
      <c r="E100" s="182">
        <f>IF(D100=0,0,F100/SUM('Table 11a-d'!E102:I102))</f>
        <v>0</v>
      </c>
      <c r="F100" s="113">
        <v>0</v>
      </c>
      <c r="G100" s="113">
        <v>0</v>
      </c>
      <c r="H100" s="113">
        <v>0</v>
      </c>
      <c r="I100" s="113">
        <v>0</v>
      </c>
      <c r="J100" s="113">
        <v>0</v>
      </c>
    </row>
    <row r="101" spans="1:10" x14ac:dyDescent="0.35">
      <c r="B101" s="241" t="s">
        <v>677</v>
      </c>
      <c r="C101" s="241"/>
      <c r="D101" s="187">
        <f>'Table 11a-d'!J103</f>
        <v>0.2</v>
      </c>
      <c r="E101" s="182">
        <f>IF(D101=0,0,F101/SUM('Table 11a-d'!E103:I103))</f>
        <v>0</v>
      </c>
      <c r="F101" s="113">
        <v>0</v>
      </c>
      <c r="G101" s="113">
        <v>0</v>
      </c>
      <c r="H101" s="113">
        <v>0</v>
      </c>
      <c r="I101" s="113">
        <v>0</v>
      </c>
      <c r="J101" s="113">
        <v>0</v>
      </c>
    </row>
    <row r="102" spans="1:10" ht="15" customHeight="1" x14ac:dyDescent="0.35">
      <c r="B102" s="241" t="s">
        <v>678</v>
      </c>
      <c r="C102" s="241"/>
      <c r="D102" s="187">
        <f>'Table 11a-d'!J104</f>
        <v>0.2</v>
      </c>
      <c r="E102" s="182">
        <f>IF(D102=0,0,F102/SUM('Table 11a-d'!E104:I104))</f>
        <v>0</v>
      </c>
      <c r="F102" s="113">
        <v>0</v>
      </c>
      <c r="G102" s="113">
        <v>0</v>
      </c>
      <c r="H102" s="113">
        <v>0</v>
      </c>
      <c r="I102" s="113">
        <v>0</v>
      </c>
      <c r="J102" s="113">
        <v>0</v>
      </c>
    </row>
    <row r="103" spans="1:10" s="40" customFormat="1" x14ac:dyDescent="0.35">
      <c r="D103" s="39"/>
      <c r="E103" s="39"/>
    </row>
    <row r="104" spans="1:10" s="40" customFormat="1" x14ac:dyDescent="0.35">
      <c r="D104" s="39"/>
      <c r="E104" s="39"/>
    </row>
    <row r="105" spans="1:10" s="40" customFormat="1" x14ac:dyDescent="0.35">
      <c r="A105" s="40" t="s">
        <v>0</v>
      </c>
      <c r="B105" s="43" t="s">
        <v>68</v>
      </c>
      <c r="C105" s="40" t="s">
        <v>358</v>
      </c>
      <c r="D105" s="39"/>
      <c r="E105" s="39"/>
    </row>
    <row r="106" spans="1:10" s="40" customFormat="1" x14ac:dyDescent="0.35">
      <c r="A106" s="44" t="s">
        <v>76</v>
      </c>
      <c r="B106" s="43" t="s">
        <v>868</v>
      </c>
      <c r="C106" s="40" t="s">
        <v>869</v>
      </c>
      <c r="D106" s="39"/>
      <c r="E106" s="39"/>
    </row>
    <row r="107" spans="1:10" s="40" customFormat="1" x14ac:dyDescent="0.35">
      <c r="A107" s="159" t="s">
        <v>683</v>
      </c>
      <c r="B107" s="43"/>
      <c r="D107" s="39"/>
      <c r="E107" s="39"/>
    </row>
    <row r="108" spans="1:10" s="40" customFormat="1" x14ac:dyDescent="0.35">
      <c r="A108" s="159" t="s">
        <v>679</v>
      </c>
      <c r="B108" s="43"/>
      <c r="D108" s="39"/>
      <c r="E108" s="39"/>
    </row>
    <row r="109" spans="1:10" s="40" customFormat="1" ht="15" customHeight="1" x14ac:dyDescent="0.35">
      <c r="D109" s="39"/>
      <c r="E109" s="39"/>
    </row>
    <row r="110" spans="1:10" ht="15" customHeight="1" x14ac:dyDescent="0.35">
      <c r="B110" s="248" t="s">
        <v>254</v>
      </c>
      <c r="C110" s="249"/>
      <c r="D110" s="275" t="s">
        <v>681</v>
      </c>
      <c r="E110" s="275" t="s">
        <v>682</v>
      </c>
      <c r="F110" s="277" t="s">
        <v>96</v>
      </c>
      <c r="G110" s="277"/>
      <c r="H110" s="277"/>
      <c r="I110" s="277"/>
      <c r="J110" s="277"/>
    </row>
    <row r="111" spans="1:10" ht="45.75" customHeight="1" x14ac:dyDescent="0.35">
      <c r="B111" s="250"/>
      <c r="C111" s="251"/>
      <c r="D111" s="276"/>
      <c r="E111" s="276"/>
      <c r="F111" s="91" t="s">
        <v>97</v>
      </c>
      <c r="G111" s="91" t="s">
        <v>98</v>
      </c>
      <c r="H111" s="91" t="s">
        <v>99</v>
      </c>
      <c r="I111" s="91" t="s">
        <v>100</v>
      </c>
      <c r="J111" s="91" t="s">
        <v>101</v>
      </c>
    </row>
    <row r="112" spans="1:10" s="40" customFormat="1" x14ac:dyDescent="0.35">
      <c r="B112" s="257" t="s">
        <v>102</v>
      </c>
      <c r="C112" s="171" t="s">
        <v>103</v>
      </c>
      <c r="D112" s="191">
        <f>'Table 11a-d'!J116</f>
        <v>22.2</v>
      </c>
      <c r="E112" s="182">
        <f>IF(D112=0,0,F112/SUM('Table 11a-d'!E116:I116))</f>
        <v>1.8018018018018018E-2</v>
      </c>
      <c r="F112" s="145">
        <v>2</v>
      </c>
      <c r="G112" s="145">
        <v>1</v>
      </c>
      <c r="H112" s="145">
        <v>0</v>
      </c>
      <c r="I112" s="145">
        <v>1</v>
      </c>
      <c r="J112" s="145">
        <v>0</v>
      </c>
    </row>
    <row r="113" spans="2:10" s="40" customFormat="1" x14ac:dyDescent="0.35">
      <c r="B113" s="258"/>
      <c r="C113" s="171" t="s">
        <v>104</v>
      </c>
      <c r="D113" s="191">
        <f>'Table 11a-d'!J117</f>
        <v>0.4</v>
      </c>
      <c r="E113" s="182">
        <f>IF(D113=0,0,F113/SUM('Table 11a-d'!E117:I117))</f>
        <v>0</v>
      </c>
      <c r="F113" s="145">
        <v>0</v>
      </c>
      <c r="G113" s="145">
        <v>0</v>
      </c>
      <c r="H113" s="145">
        <v>0</v>
      </c>
      <c r="I113" s="145">
        <v>0</v>
      </c>
      <c r="J113" s="145">
        <v>0</v>
      </c>
    </row>
    <row r="114" spans="2:10" s="40" customFormat="1" x14ac:dyDescent="0.35">
      <c r="B114" s="258"/>
      <c r="C114" s="173" t="s">
        <v>64</v>
      </c>
      <c r="D114" s="191">
        <f>'Table 11a-d'!J118</f>
        <v>30.4</v>
      </c>
      <c r="E114" s="182">
        <f>IF(D114=0,0,F114/SUM('Table 11a-d'!E118:I118))</f>
        <v>0</v>
      </c>
      <c r="F114" s="145">
        <v>0</v>
      </c>
      <c r="G114" s="145">
        <v>0</v>
      </c>
      <c r="H114" s="145">
        <v>0</v>
      </c>
      <c r="I114" s="145">
        <v>0</v>
      </c>
      <c r="J114" s="145">
        <v>0</v>
      </c>
    </row>
    <row r="115" spans="2:10" s="40" customFormat="1" x14ac:dyDescent="0.35">
      <c r="B115" s="258"/>
      <c r="C115" s="173" t="s">
        <v>662</v>
      </c>
      <c r="D115" s="191">
        <f>'Table 11a-d'!J119</f>
        <v>1</v>
      </c>
      <c r="E115" s="182">
        <f>IF(D115=0,0,F115/SUM('Table 11a-d'!E119:I119))</f>
        <v>0</v>
      </c>
      <c r="F115" s="145">
        <v>0</v>
      </c>
      <c r="G115" s="145">
        <v>0</v>
      </c>
      <c r="H115" s="145">
        <v>0</v>
      </c>
      <c r="I115" s="145">
        <v>0</v>
      </c>
      <c r="J115" s="145">
        <v>0</v>
      </c>
    </row>
    <row r="116" spans="2:10" s="40" customFormat="1" x14ac:dyDescent="0.35">
      <c r="B116" s="258"/>
      <c r="C116" s="171" t="s">
        <v>260</v>
      </c>
      <c r="D116" s="191">
        <f>'Table 11a-d'!J120</f>
        <v>21.2</v>
      </c>
      <c r="E116" s="182">
        <f>IF(D116=0,0,F116/SUM('Table 11a-d'!E120:I120))</f>
        <v>2.8301886792452831E-2</v>
      </c>
      <c r="F116" s="145">
        <v>3</v>
      </c>
      <c r="G116" s="145">
        <v>2</v>
      </c>
      <c r="H116" s="145">
        <v>0</v>
      </c>
      <c r="I116" s="145">
        <v>1</v>
      </c>
      <c r="J116" s="145">
        <v>0</v>
      </c>
    </row>
    <row r="117" spans="2:10" s="40" customFormat="1" x14ac:dyDescent="0.35">
      <c r="B117" s="259"/>
      <c r="C117" s="171" t="s">
        <v>105</v>
      </c>
      <c r="D117" s="191">
        <f>'Table 11a-d'!J121</f>
        <v>5</v>
      </c>
      <c r="E117" s="182">
        <f>IF(D117=0,0,F117/SUM('Table 11a-d'!E121:I121))</f>
        <v>0.04</v>
      </c>
      <c r="F117" s="145">
        <v>1</v>
      </c>
      <c r="G117" s="145">
        <v>1</v>
      </c>
      <c r="H117" s="145">
        <v>0</v>
      </c>
      <c r="I117" s="145">
        <v>0</v>
      </c>
      <c r="J117" s="145">
        <v>0</v>
      </c>
    </row>
    <row r="118" spans="2:10" s="40" customFormat="1" x14ac:dyDescent="0.35">
      <c r="B118" s="260" t="s">
        <v>663</v>
      </c>
      <c r="C118" s="261"/>
      <c r="D118" s="191">
        <f>'Table 11a-d'!J122</f>
        <v>2.2000000000000002</v>
      </c>
      <c r="E118" s="182">
        <f>IF(D118=0,0,F118/SUM('Table 11a-d'!E122:I122))</f>
        <v>0</v>
      </c>
      <c r="F118" s="145">
        <v>0</v>
      </c>
      <c r="G118" s="145">
        <v>0</v>
      </c>
      <c r="H118" s="145">
        <v>0</v>
      </c>
      <c r="I118" s="145">
        <v>0</v>
      </c>
      <c r="J118" s="145">
        <v>0</v>
      </c>
    </row>
    <row r="119" spans="2:10" s="40" customFormat="1" ht="15" customHeight="1" x14ac:dyDescent="0.35">
      <c r="B119" s="257" t="s">
        <v>261</v>
      </c>
      <c r="C119" s="171" t="s">
        <v>664</v>
      </c>
      <c r="D119" s="191">
        <f>'Table 11a-d'!J123</f>
        <v>6.8</v>
      </c>
      <c r="E119" s="182">
        <f>IF(D119=0,0,F119/SUM('Table 11a-d'!E123:I123))</f>
        <v>5.8823529411764705E-2</v>
      </c>
      <c r="F119" s="145">
        <v>2</v>
      </c>
      <c r="G119" s="145">
        <v>1</v>
      </c>
      <c r="H119" s="145">
        <v>0</v>
      </c>
      <c r="I119" s="145">
        <v>1</v>
      </c>
      <c r="J119" s="145">
        <v>0</v>
      </c>
    </row>
    <row r="120" spans="2:10" s="40" customFormat="1" x14ac:dyDescent="0.35">
      <c r="B120" s="258"/>
      <c r="C120" s="171" t="s">
        <v>665</v>
      </c>
      <c r="D120" s="191">
        <f>'Table 11a-d'!J124</f>
        <v>0.8</v>
      </c>
      <c r="E120" s="182">
        <f>IF(D120=0,0,F120/SUM('Table 11a-d'!E124:I124))</f>
        <v>0.25</v>
      </c>
      <c r="F120" s="145">
        <v>1</v>
      </c>
      <c r="G120" s="145">
        <v>1</v>
      </c>
      <c r="H120" s="145">
        <v>0</v>
      </c>
      <c r="I120" s="145">
        <v>0</v>
      </c>
      <c r="J120" s="145">
        <v>0</v>
      </c>
    </row>
    <row r="121" spans="2:10" s="40" customFormat="1" x14ac:dyDescent="0.35">
      <c r="B121" s="258"/>
      <c r="C121" s="171" t="s">
        <v>666</v>
      </c>
      <c r="D121" s="191">
        <f>'Table 11a-d'!J125</f>
        <v>36.6</v>
      </c>
      <c r="E121" s="182">
        <f>IF(D121=0,0,F121/SUM('Table 11a-d'!E125:I125))</f>
        <v>1.092896174863388E-2</v>
      </c>
      <c r="F121" s="146">
        <v>2</v>
      </c>
      <c r="G121" s="146">
        <v>2</v>
      </c>
      <c r="H121" s="146">
        <v>0</v>
      </c>
      <c r="I121" s="146">
        <v>0</v>
      </c>
      <c r="J121" s="146">
        <v>0</v>
      </c>
    </row>
    <row r="122" spans="2:10" s="40" customFormat="1" x14ac:dyDescent="0.35">
      <c r="B122" s="258"/>
      <c r="C122" s="171" t="s">
        <v>667</v>
      </c>
      <c r="D122" s="191">
        <f>'Table 11a-d'!J126</f>
        <v>1.2</v>
      </c>
      <c r="E122" s="182">
        <f>IF(D122=0,0,F122/SUM('Table 11a-d'!E126:I126))</f>
        <v>0</v>
      </c>
      <c r="F122" s="146">
        <v>0</v>
      </c>
      <c r="G122" s="146">
        <v>0</v>
      </c>
      <c r="H122" s="146">
        <v>0</v>
      </c>
      <c r="I122" s="146">
        <v>0</v>
      </c>
      <c r="J122" s="146">
        <v>0</v>
      </c>
    </row>
    <row r="123" spans="2:10" s="40" customFormat="1" x14ac:dyDescent="0.35">
      <c r="B123" s="258"/>
      <c r="C123" s="171" t="s">
        <v>668</v>
      </c>
      <c r="D123" s="191">
        <f>'Table 11a-d'!J127</f>
        <v>3.6</v>
      </c>
      <c r="E123" s="182">
        <f>IF(D123=0,0,F123/SUM('Table 11a-d'!E127:I127))</f>
        <v>0</v>
      </c>
      <c r="F123" s="146">
        <v>0</v>
      </c>
      <c r="G123" s="146">
        <v>0</v>
      </c>
      <c r="H123" s="146">
        <v>0</v>
      </c>
      <c r="I123" s="146">
        <v>0</v>
      </c>
      <c r="J123" s="146">
        <v>0</v>
      </c>
    </row>
    <row r="124" spans="2:10" s="40" customFormat="1" x14ac:dyDescent="0.35">
      <c r="B124" s="258"/>
      <c r="C124" s="171" t="s">
        <v>64</v>
      </c>
      <c r="D124" s="191">
        <f>'Table 11a-d'!J128</f>
        <v>5.8</v>
      </c>
      <c r="E124" s="182">
        <f>IF(D124=0,0,F124/SUM('Table 11a-d'!E128:I128))</f>
        <v>0</v>
      </c>
      <c r="F124" s="146">
        <v>0</v>
      </c>
      <c r="G124" s="146">
        <v>0</v>
      </c>
      <c r="H124" s="146">
        <v>0</v>
      </c>
      <c r="I124" s="146">
        <v>0</v>
      </c>
      <c r="J124" s="146">
        <v>0</v>
      </c>
    </row>
    <row r="125" spans="2:10" s="40" customFormat="1" x14ac:dyDescent="0.35">
      <c r="B125" s="258"/>
      <c r="C125" s="171" t="s">
        <v>669</v>
      </c>
      <c r="D125" s="191">
        <f>'Table 11a-d'!J129</f>
        <v>2.2000000000000002</v>
      </c>
      <c r="E125" s="182">
        <f>IF(D125=0,0,F125/SUM('Table 11a-d'!E129:I129))</f>
        <v>0</v>
      </c>
      <c r="F125" s="146">
        <v>0</v>
      </c>
      <c r="G125" s="146">
        <v>0</v>
      </c>
      <c r="H125" s="146">
        <v>0</v>
      </c>
      <c r="I125" s="146">
        <v>0</v>
      </c>
      <c r="J125" s="146">
        <v>0</v>
      </c>
    </row>
    <row r="126" spans="2:10" s="40" customFormat="1" x14ac:dyDescent="0.35">
      <c r="B126" s="258"/>
      <c r="C126" s="171" t="s">
        <v>670</v>
      </c>
      <c r="D126" s="191">
        <f>'Table 11a-d'!J130</f>
        <v>0</v>
      </c>
      <c r="E126" s="182">
        <f>IF(D126=0,0,F126/SUM('Table 11a-d'!E130:I130))</f>
        <v>0</v>
      </c>
      <c r="F126" s="146">
        <v>0</v>
      </c>
      <c r="G126" s="146">
        <v>0</v>
      </c>
      <c r="H126" s="146">
        <v>0</v>
      </c>
      <c r="I126" s="146">
        <v>0</v>
      </c>
      <c r="J126" s="146">
        <v>0</v>
      </c>
    </row>
    <row r="127" spans="2:10" s="40" customFormat="1" x14ac:dyDescent="0.35">
      <c r="B127" s="258"/>
      <c r="C127" s="171" t="s">
        <v>671</v>
      </c>
      <c r="D127" s="191">
        <f>'Table 11a-d'!J131</f>
        <v>17.2</v>
      </c>
      <c r="E127" s="182">
        <f>IF(D127=0,0,F127/SUM('Table 11a-d'!E131:I131))</f>
        <v>1.1627906976744186E-2</v>
      </c>
      <c r="F127" s="146">
        <v>1</v>
      </c>
      <c r="G127" s="146">
        <v>1</v>
      </c>
      <c r="H127" s="146">
        <v>0</v>
      </c>
      <c r="I127" s="146">
        <v>0</v>
      </c>
      <c r="J127" s="146">
        <v>0</v>
      </c>
    </row>
    <row r="128" spans="2:10" s="40" customFormat="1" x14ac:dyDescent="0.35">
      <c r="B128" s="258"/>
      <c r="C128" s="171" t="s">
        <v>672</v>
      </c>
      <c r="D128" s="191">
        <f>'Table 11a-d'!J132</f>
        <v>0.2</v>
      </c>
      <c r="E128" s="182">
        <f>IF(D128=0,0,F128/SUM('Table 11a-d'!E132:I132))</f>
        <v>0</v>
      </c>
      <c r="F128" s="146">
        <v>0</v>
      </c>
      <c r="G128" s="146">
        <v>0</v>
      </c>
      <c r="H128" s="146">
        <v>0</v>
      </c>
      <c r="I128" s="146">
        <v>0</v>
      </c>
      <c r="J128" s="146">
        <v>0</v>
      </c>
    </row>
    <row r="129" spans="2:10" s="40" customFormat="1" x14ac:dyDescent="0.35">
      <c r="B129" s="258"/>
      <c r="C129" s="171" t="s">
        <v>673</v>
      </c>
      <c r="D129" s="191">
        <f>'Table 11a-d'!J133</f>
        <v>20.399999999999999</v>
      </c>
      <c r="E129" s="182">
        <f>IF(D129=0,0,F129/SUM('Table 11a-d'!E133:I133))</f>
        <v>9.8039215686274508E-3</v>
      </c>
      <c r="F129" s="146">
        <v>1</v>
      </c>
      <c r="G129" s="146">
        <v>1</v>
      </c>
      <c r="H129" s="146">
        <v>0</v>
      </c>
      <c r="I129" s="146">
        <v>0</v>
      </c>
      <c r="J129" s="146">
        <v>0</v>
      </c>
    </row>
    <row r="130" spans="2:10" s="40" customFormat="1" x14ac:dyDescent="0.35">
      <c r="B130" s="259"/>
      <c r="C130" s="171" t="s">
        <v>674</v>
      </c>
      <c r="D130" s="191">
        <f>'Table 11a-d'!J134</f>
        <v>0</v>
      </c>
      <c r="E130" s="182">
        <f>IF(D130=0,0,F130/SUM('Table 11a-d'!E134:I134))</f>
        <v>0</v>
      </c>
      <c r="F130" s="146">
        <v>0</v>
      </c>
      <c r="G130" s="146">
        <v>0</v>
      </c>
      <c r="H130" s="146">
        <v>0</v>
      </c>
      <c r="I130" s="146">
        <v>0</v>
      </c>
      <c r="J130" s="146">
        <v>0</v>
      </c>
    </row>
    <row r="131" spans="2:10" s="40" customFormat="1" x14ac:dyDescent="0.35">
      <c r="B131" s="260" t="s">
        <v>675</v>
      </c>
      <c r="C131" s="261"/>
      <c r="D131" s="191">
        <f>'Table 11a-d'!J135</f>
        <v>7.4</v>
      </c>
      <c r="E131" s="182">
        <f>IF(D131=0,0,F131/SUM('Table 11a-d'!E135:I135))</f>
        <v>0</v>
      </c>
      <c r="F131" s="146">
        <v>0</v>
      </c>
      <c r="G131" s="146">
        <v>0</v>
      </c>
      <c r="H131" s="146">
        <v>0</v>
      </c>
      <c r="I131" s="146">
        <v>0</v>
      </c>
      <c r="J131" s="146">
        <v>0</v>
      </c>
    </row>
    <row r="132" spans="2:10" s="40" customFormat="1" x14ac:dyDescent="0.35">
      <c r="B132" s="260" t="s">
        <v>64</v>
      </c>
      <c r="C132" s="261"/>
      <c r="D132" s="191">
        <f>'Table 11a-d'!J136</f>
        <v>8.1999999999999993</v>
      </c>
      <c r="E132" s="182">
        <f>IF(D132=0,0,F132/SUM('Table 11a-d'!E136:I136))</f>
        <v>2.4390243902439025E-2</v>
      </c>
      <c r="F132" s="146">
        <v>1</v>
      </c>
      <c r="G132" s="146">
        <v>1</v>
      </c>
      <c r="H132" s="146">
        <v>0</v>
      </c>
      <c r="I132" s="146">
        <v>0</v>
      </c>
      <c r="J132" s="146">
        <v>0</v>
      </c>
    </row>
    <row r="133" spans="2:10" s="40" customFormat="1" x14ac:dyDescent="0.35">
      <c r="B133" s="260" t="s">
        <v>662</v>
      </c>
      <c r="C133" s="261"/>
      <c r="D133" s="191">
        <f>'Table 11a-d'!J137</f>
        <v>30</v>
      </c>
      <c r="E133" s="182">
        <f>IF(D133=0,0,F133/SUM('Table 11a-d'!E137:I137))</f>
        <v>0</v>
      </c>
      <c r="F133" s="146">
        <v>0</v>
      </c>
      <c r="G133" s="146">
        <v>0</v>
      </c>
      <c r="H133" s="146">
        <v>0</v>
      </c>
      <c r="I133" s="146">
        <v>0</v>
      </c>
      <c r="J133" s="146">
        <v>0</v>
      </c>
    </row>
    <row r="134" spans="2:10" s="40" customFormat="1" x14ac:dyDescent="0.35">
      <c r="B134" s="260" t="s">
        <v>676</v>
      </c>
      <c r="C134" s="261"/>
      <c r="D134" s="191">
        <f>'Table 11a-d'!J138</f>
        <v>0</v>
      </c>
      <c r="E134" s="182">
        <f>IF(D134=0,0,F134/SUM('Table 11a-d'!E138:I138))</f>
        <v>0</v>
      </c>
      <c r="F134" s="146">
        <v>0</v>
      </c>
      <c r="G134" s="146">
        <v>0</v>
      </c>
      <c r="H134" s="146">
        <v>0</v>
      </c>
      <c r="I134" s="146">
        <v>0</v>
      </c>
      <c r="J134" s="146">
        <v>0</v>
      </c>
    </row>
    <row r="135" spans="2:10" s="40" customFormat="1" x14ac:dyDescent="0.35">
      <c r="B135" s="262" t="s">
        <v>677</v>
      </c>
      <c r="C135" s="262"/>
      <c r="D135" s="191">
        <f>'Table 11a-d'!J139</f>
        <v>0.8</v>
      </c>
      <c r="E135" s="182">
        <f>IF(D135=0,0,F135/SUM('Table 11a-d'!E139:I139))</f>
        <v>0</v>
      </c>
      <c r="F135" s="146">
        <v>0</v>
      </c>
      <c r="G135" s="146">
        <v>0</v>
      </c>
      <c r="H135" s="146">
        <v>0</v>
      </c>
      <c r="I135" s="146">
        <v>0</v>
      </c>
      <c r="J135" s="146">
        <v>0</v>
      </c>
    </row>
    <row r="136" spans="2:10" s="40" customFormat="1" ht="15" customHeight="1" x14ac:dyDescent="0.35">
      <c r="B136" s="262" t="s">
        <v>678</v>
      </c>
      <c r="C136" s="262"/>
      <c r="D136" s="191">
        <f>'Table 11a-d'!J140</f>
        <v>1.2</v>
      </c>
      <c r="E136" s="182">
        <f>IF(D136=0,0,F136/SUM('Table 11a-d'!E140:I140))</f>
        <v>0.16666666666666666</v>
      </c>
      <c r="F136" s="146">
        <v>1</v>
      </c>
      <c r="G136" s="146">
        <v>0</v>
      </c>
      <c r="H136" s="146">
        <v>0</v>
      </c>
      <c r="I136" s="146">
        <v>1</v>
      </c>
      <c r="J136" s="146">
        <v>0</v>
      </c>
    </row>
    <row r="137" spans="2:10" s="40" customFormat="1" x14ac:dyDescent="0.35">
      <c r="D137" s="39"/>
      <c r="E137" s="39"/>
    </row>
    <row r="138" spans="2:10" s="40" customFormat="1" x14ac:dyDescent="0.35">
      <c r="D138" s="39"/>
      <c r="E138" s="39"/>
    </row>
    <row r="139" spans="2:10" s="40" customFormat="1" x14ac:dyDescent="0.35">
      <c r="D139" s="39"/>
      <c r="E139" s="39"/>
    </row>
    <row r="140" spans="2:10" s="40" customFormat="1" x14ac:dyDescent="0.35">
      <c r="D140" s="39"/>
      <c r="E140" s="39"/>
    </row>
    <row r="141" spans="2:10" s="40" customFormat="1" x14ac:dyDescent="0.35">
      <c r="D141" s="39"/>
      <c r="E141" s="39"/>
    </row>
    <row r="142" spans="2:10" s="40" customFormat="1" x14ac:dyDescent="0.35">
      <c r="D142" s="39"/>
      <c r="E142" s="39"/>
    </row>
    <row r="143" spans="2:10" s="40" customFormat="1" x14ac:dyDescent="0.35">
      <c r="D143" s="39"/>
      <c r="E143" s="39"/>
    </row>
    <row r="144" spans="2:10" s="40" customFormat="1" x14ac:dyDescent="0.35">
      <c r="D144" s="39"/>
      <c r="E144" s="39"/>
    </row>
    <row r="145" spans="4:5" s="40" customFormat="1" x14ac:dyDescent="0.35">
      <c r="D145" s="39"/>
      <c r="E145" s="39"/>
    </row>
    <row r="146" spans="4:5" s="40" customFormat="1" x14ac:dyDescent="0.35">
      <c r="D146" s="39"/>
      <c r="E146" s="39"/>
    </row>
    <row r="147" spans="4:5" s="40" customFormat="1" x14ac:dyDescent="0.35">
      <c r="D147" s="39"/>
      <c r="E147" s="39"/>
    </row>
    <row r="148" spans="4:5" s="40" customFormat="1" x14ac:dyDescent="0.35">
      <c r="D148" s="39"/>
      <c r="E148" s="39"/>
    </row>
    <row r="149" spans="4:5" s="40" customFormat="1" x14ac:dyDescent="0.35">
      <c r="D149" s="39"/>
      <c r="E149" s="39"/>
    </row>
    <row r="150" spans="4:5" s="40" customFormat="1" x14ac:dyDescent="0.35">
      <c r="D150" s="39"/>
      <c r="E150" s="39"/>
    </row>
    <row r="151" spans="4:5" s="40" customFormat="1" x14ac:dyDescent="0.35">
      <c r="D151" s="39"/>
      <c r="E151" s="39"/>
    </row>
    <row r="152" spans="4:5" s="40" customFormat="1" x14ac:dyDescent="0.35">
      <c r="D152" s="39"/>
      <c r="E152" s="39"/>
    </row>
    <row r="153" spans="4:5" s="40" customFormat="1" x14ac:dyDescent="0.35">
      <c r="D153" s="39"/>
      <c r="E153" s="39"/>
    </row>
    <row r="154" spans="4:5" s="40" customFormat="1" x14ac:dyDescent="0.35">
      <c r="D154" s="39"/>
      <c r="E154" s="39"/>
    </row>
    <row r="155" spans="4:5" s="40" customFormat="1" x14ac:dyDescent="0.35">
      <c r="D155" s="39"/>
      <c r="E155" s="39"/>
    </row>
    <row r="156" spans="4:5" s="40" customFormat="1" x14ac:dyDescent="0.35">
      <c r="D156" s="39"/>
      <c r="E156" s="39"/>
    </row>
    <row r="157" spans="4:5" s="40" customFormat="1" x14ac:dyDescent="0.35">
      <c r="D157" s="39"/>
      <c r="E157" s="39"/>
    </row>
  </sheetData>
  <mergeCells count="54">
    <mergeCell ref="B112:B117"/>
    <mergeCell ref="B118:C118"/>
    <mergeCell ref="B136:C136"/>
    <mergeCell ref="B133:C133"/>
    <mergeCell ref="B134:C134"/>
    <mergeCell ref="B135:C135"/>
    <mergeCell ref="B119:B130"/>
    <mergeCell ref="B131:C131"/>
    <mergeCell ref="B132:C132"/>
    <mergeCell ref="B102:C102"/>
    <mergeCell ref="B110:C111"/>
    <mergeCell ref="D110:D111"/>
    <mergeCell ref="E110:E111"/>
    <mergeCell ref="F110:J110"/>
    <mergeCell ref="F76:J76"/>
    <mergeCell ref="B84:C84"/>
    <mergeCell ref="B99:C99"/>
    <mergeCell ref="B100:C100"/>
    <mergeCell ref="B101:C101"/>
    <mergeCell ref="B85:B96"/>
    <mergeCell ref="B97:C97"/>
    <mergeCell ref="B98:C98"/>
    <mergeCell ref="B78:B83"/>
    <mergeCell ref="B67:C67"/>
    <mergeCell ref="B76:C77"/>
    <mergeCell ref="D76:D77"/>
    <mergeCell ref="E76:E77"/>
    <mergeCell ref="B49:C49"/>
    <mergeCell ref="B64:C64"/>
    <mergeCell ref="B65:C65"/>
    <mergeCell ref="B66:C66"/>
    <mergeCell ref="B50:B61"/>
    <mergeCell ref="B62:C62"/>
    <mergeCell ref="B63:C63"/>
    <mergeCell ref="F7:J7"/>
    <mergeCell ref="B9:B14"/>
    <mergeCell ref="B29:C29"/>
    <mergeCell ref="B43:B48"/>
    <mergeCell ref="B33:C33"/>
    <mergeCell ref="B41:C42"/>
    <mergeCell ref="D41:D42"/>
    <mergeCell ref="E41:E42"/>
    <mergeCell ref="F41:J41"/>
    <mergeCell ref="D4:D5"/>
    <mergeCell ref="E4:E5"/>
    <mergeCell ref="B30:C30"/>
    <mergeCell ref="B31:C31"/>
    <mergeCell ref="B32:C32"/>
    <mergeCell ref="B15:C15"/>
    <mergeCell ref="B16:B27"/>
    <mergeCell ref="B28:C28"/>
    <mergeCell ref="B7:C8"/>
    <mergeCell ref="D7:D8"/>
    <mergeCell ref="E7:E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F27"/>
  <sheetViews>
    <sheetView zoomScaleNormal="100" workbookViewId="0">
      <selection activeCell="R13" sqref="R13"/>
    </sheetView>
  </sheetViews>
  <sheetFormatPr defaultRowHeight="14.5" x14ac:dyDescent="0.35"/>
  <cols>
    <col min="1" max="1" width="9.1796875" style="40"/>
    <col min="2" max="2" width="6" customWidth="1"/>
    <col min="3" max="3" width="15.54296875" customWidth="1"/>
    <col min="4" max="9" width="8.7265625" customWidth="1"/>
    <col min="10" max="10" width="21" customWidth="1"/>
    <col min="11" max="11" width="39" customWidth="1"/>
    <col min="12" max="12" width="2.54296875" style="40" customWidth="1"/>
    <col min="13" max="17" width="9.1796875" style="40"/>
    <col min="18" max="32" width="9.1796875" style="153"/>
  </cols>
  <sheetData>
    <row r="1" spans="1:32" s="40" customFormat="1" ht="26" x14ac:dyDescent="0.6">
      <c r="A1" s="42" t="s">
        <v>125</v>
      </c>
      <c r="R1" s="153"/>
      <c r="S1" s="153"/>
      <c r="T1" s="153"/>
      <c r="U1" s="153"/>
      <c r="V1" s="153"/>
      <c r="W1" s="153"/>
      <c r="X1" s="153"/>
      <c r="Y1" s="153"/>
      <c r="Z1" s="153"/>
      <c r="AA1" s="153"/>
      <c r="AB1" s="153"/>
      <c r="AC1" s="153"/>
      <c r="AD1" s="153"/>
      <c r="AE1" s="153"/>
      <c r="AF1" s="153"/>
    </row>
    <row r="2" spans="1:32" s="40" customFormat="1" x14ac:dyDescent="0.35">
      <c r="A2" s="40" t="s">
        <v>0</v>
      </c>
      <c r="B2" s="39">
        <v>2.2000000000000002</v>
      </c>
      <c r="C2" s="40" t="s">
        <v>1</v>
      </c>
      <c r="R2" s="153"/>
      <c r="S2" s="153"/>
      <c r="T2" s="153"/>
      <c r="U2" s="153"/>
      <c r="V2" s="153"/>
      <c r="W2" s="153"/>
      <c r="X2" s="153"/>
      <c r="Y2" s="153"/>
      <c r="Z2" s="153"/>
      <c r="AA2" s="153"/>
      <c r="AB2" s="153"/>
      <c r="AC2" s="153"/>
      <c r="AD2" s="153"/>
      <c r="AE2" s="153"/>
      <c r="AF2" s="153"/>
    </row>
    <row r="3" spans="1:32" s="40" customFormat="1" x14ac:dyDescent="0.35">
      <c r="A3" s="44" t="s">
        <v>76</v>
      </c>
      <c r="B3" s="39">
        <v>1</v>
      </c>
      <c r="C3" s="44" t="s">
        <v>1</v>
      </c>
      <c r="R3" s="153"/>
      <c r="S3" s="153"/>
      <c r="T3" s="153"/>
      <c r="U3" s="153"/>
      <c r="V3" s="153"/>
      <c r="W3" s="153"/>
      <c r="X3" s="153"/>
      <c r="Y3" s="153"/>
      <c r="Z3" s="153"/>
      <c r="AA3" s="153"/>
      <c r="AB3" s="153"/>
      <c r="AC3" s="153"/>
      <c r="AD3" s="153"/>
      <c r="AE3" s="153"/>
      <c r="AF3" s="153"/>
    </row>
    <row r="4" spans="1:32" s="40" customFormat="1" x14ac:dyDescent="0.35">
      <c r="R4" s="153"/>
      <c r="S4" s="153"/>
      <c r="T4" s="153"/>
      <c r="U4" s="153"/>
      <c r="V4" s="153"/>
      <c r="W4" s="153"/>
      <c r="X4" s="153"/>
      <c r="Y4" s="153"/>
      <c r="Z4" s="153"/>
      <c r="AA4" s="153"/>
      <c r="AB4" s="153"/>
      <c r="AC4" s="153"/>
      <c r="AD4" s="153"/>
      <c r="AE4" s="153"/>
      <c r="AF4" s="153"/>
    </row>
    <row r="5" spans="1:32" s="40" customFormat="1" x14ac:dyDescent="0.35">
      <c r="R5" s="153"/>
      <c r="S5" s="153"/>
      <c r="T5" s="153"/>
      <c r="U5" s="153"/>
      <c r="V5" s="153"/>
      <c r="W5" s="153"/>
      <c r="X5" s="153"/>
      <c r="Y5" s="153"/>
      <c r="Z5" s="153"/>
      <c r="AA5" s="153"/>
      <c r="AB5" s="153"/>
      <c r="AC5" s="153"/>
      <c r="AD5" s="153"/>
      <c r="AE5" s="153"/>
      <c r="AF5" s="153"/>
    </row>
    <row r="6" spans="1:32" ht="18" customHeight="1" x14ac:dyDescent="0.35">
      <c r="B6" s="202" t="s">
        <v>108</v>
      </c>
      <c r="C6" s="203" t="s">
        <v>109</v>
      </c>
      <c r="D6" s="203" t="s">
        <v>110</v>
      </c>
      <c r="E6" s="202" t="s">
        <v>111</v>
      </c>
      <c r="F6" s="202"/>
      <c r="G6" s="202"/>
      <c r="H6" s="202"/>
      <c r="I6" s="202"/>
      <c r="J6" s="202" t="s">
        <v>112</v>
      </c>
      <c r="K6" s="202" t="s">
        <v>113</v>
      </c>
    </row>
    <row r="7" spans="1:32" x14ac:dyDescent="0.35">
      <c r="B7" s="202"/>
      <c r="C7" s="203"/>
      <c r="D7" s="203"/>
      <c r="E7" s="3">
        <v>2015</v>
      </c>
      <c r="F7" s="3">
        <v>2016</v>
      </c>
      <c r="G7" s="3">
        <v>2017</v>
      </c>
      <c r="H7" s="3">
        <v>2018</v>
      </c>
      <c r="I7" s="3">
        <v>2019</v>
      </c>
      <c r="J7" s="202"/>
      <c r="K7" s="202"/>
    </row>
    <row r="8" spans="1:32" ht="44.25" customHeight="1" x14ac:dyDescent="0.35">
      <c r="B8" s="197" t="s">
        <v>3</v>
      </c>
      <c r="C8" s="197" t="s">
        <v>2</v>
      </c>
      <c r="D8" s="4" t="s">
        <v>114</v>
      </c>
      <c r="E8" s="58">
        <v>0.01</v>
      </c>
      <c r="F8" s="58">
        <v>0.02</v>
      </c>
      <c r="G8" s="58">
        <v>0.04</v>
      </c>
      <c r="H8" s="58">
        <v>0.06</v>
      </c>
      <c r="I8" s="58">
        <v>0.04</v>
      </c>
      <c r="J8" s="198" t="s">
        <v>115</v>
      </c>
      <c r="K8" s="199" t="s">
        <v>841</v>
      </c>
    </row>
    <row r="9" spans="1:32" ht="44.25" customHeight="1" x14ac:dyDescent="0.35">
      <c r="B9" s="197"/>
      <c r="C9" s="197"/>
      <c r="D9" s="4" t="s">
        <v>116</v>
      </c>
      <c r="E9" s="58">
        <v>9</v>
      </c>
      <c r="F9" s="58">
        <v>14</v>
      </c>
      <c r="G9" s="58">
        <v>15</v>
      </c>
      <c r="H9" s="58">
        <v>9</v>
      </c>
      <c r="I9" s="58">
        <v>7</v>
      </c>
      <c r="J9" s="198"/>
      <c r="K9" s="200"/>
    </row>
    <row r="10" spans="1:32" ht="44.25" customHeight="1" x14ac:dyDescent="0.35">
      <c r="B10" s="197"/>
      <c r="C10" s="197"/>
      <c r="D10" s="4" t="s">
        <v>64</v>
      </c>
      <c r="E10" s="58">
        <v>0.03</v>
      </c>
      <c r="F10" s="58">
        <v>0.02</v>
      </c>
      <c r="G10" s="58">
        <v>0.06</v>
      </c>
      <c r="H10" s="58">
        <v>0.02</v>
      </c>
      <c r="I10" s="58">
        <v>0.01</v>
      </c>
      <c r="J10" s="198"/>
      <c r="K10" s="200"/>
    </row>
    <row r="11" spans="1:32" ht="44.25" customHeight="1" x14ac:dyDescent="0.35">
      <c r="B11" s="197" t="s">
        <v>5</v>
      </c>
      <c r="C11" s="197" t="s">
        <v>4</v>
      </c>
      <c r="D11" s="4" t="s">
        <v>114</v>
      </c>
      <c r="E11" s="58">
        <v>0.11</v>
      </c>
      <c r="F11" s="58">
        <v>0.14000000000000001</v>
      </c>
      <c r="G11" s="58">
        <v>0.05</v>
      </c>
      <c r="H11" s="58">
        <v>0.17</v>
      </c>
      <c r="I11" s="58">
        <v>0.11</v>
      </c>
      <c r="J11" s="198" t="s">
        <v>117</v>
      </c>
      <c r="K11" s="200"/>
    </row>
    <row r="12" spans="1:32" ht="44.25" customHeight="1" x14ac:dyDescent="0.35">
      <c r="B12" s="197"/>
      <c r="C12" s="197"/>
      <c r="D12" s="4" t="s">
        <v>116</v>
      </c>
      <c r="E12" s="58">
        <v>13</v>
      </c>
      <c r="F12" s="58">
        <v>17</v>
      </c>
      <c r="G12" s="58">
        <v>14</v>
      </c>
      <c r="H12" s="58">
        <v>12</v>
      </c>
      <c r="I12" s="58">
        <v>16</v>
      </c>
      <c r="J12" s="198"/>
      <c r="K12" s="200"/>
    </row>
    <row r="13" spans="1:32" ht="44.25" customHeight="1" x14ac:dyDescent="0.35">
      <c r="B13" s="197"/>
      <c r="C13" s="197"/>
      <c r="D13" s="4" t="s">
        <v>64</v>
      </c>
      <c r="E13" s="58">
        <v>0.05</v>
      </c>
      <c r="F13" s="58">
        <v>0.05</v>
      </c>
      <c r="G13" s="58">
        <v>0.04</v>
      </c>
      <c r="H13" s="58">
        <v>0.03</v>
      </c>
      <c r="I13" s="58">
        <v>0.02</v>
      </c>
      <c r="J13" s="198"/>
      <c r="K13" s="201"/>
    </row>
    <row r="14" spans="1:32" ht="78.75" customHeight="1" x14ac:dyDescent="0.35">
      <c r="B14" s="4">
        <v>2</v>
      </c>
      <c r="C14" s="4" t="s">
        <v>118</v>
      </c>
      <c r="D14" s="60"/>
      <c r="E14" s="65" t="s">
        <v>264</v>
      </c>
      <c r="F14" s="65" t="s">
        <v>264</v>
      </c>
      <c r="G14" s="65" t="s">
        <v>264</v>
      </c>
      <c r="H14" s="65" t="s">
        <v>264</v>
      </c>
      <c r="I14" s="65" t="s">
        <v>264</v>
      </c>
      <c r="J14" s="154" t="s">
        <v>119</v>
      </c>
      <c r="K14" s="72" t="s">
        <v>842</v>
      </c>
    </row>
    <row r="15" spans="1:32" ht="34.5" customHeight="1" x14ac:dyDescent="0.35">
      <c r="B15" s="197">
        <v>3</v>
      </c>
      <c r="C15" s="4" t="s">
        <v>120</v>
      </c>
      <c r="D15" s="60"/>
      <c r="E15" s="58" t="s">
        <v>51</v>
      </c>
      <c r="F15" s="58" t="s">
        <v>51</v>
      </c>
      <c r="G15" s="58" t="s">
        <v>51</v>
      </c>
      <c r="H15" s="58" t="s">
        <v>51</v>
      </c>
      <c r="I15" s="58">
        <v>17.079999999999998</v>
      </c>
      <c r="J15" s="198" t="s">
        <v>121</v>
      </c>
      <c r="K15" s="58"/>
    </row>
    <row r="16" spans="1:32" ht="21" x14ac:dyDescent="0.35">
      <c r="B16" s="197"/>
      <c r="C16" s="4" t="s">
        <v>122</v>
      </c>
      <c r="D16" s="60"/>
      <c r="E16" s="58" t="s">
        <v>51</v>
      </c>
      <c r="F16" s="58" t="s">
        <v>51</v>
      </c>
      <c r="G16" s="58" t="s">
        <v>51</v>
      </c>
      <c r="H16" s="58" t="s">
        <v>51</v>
      </c>
      <c r="I16" s="58">
        <v>11.35</v>
      </c>
      <c r="J16" s="198"/>
      <c r="K16" s="58"/>
    </row>
    <row r="17" spans="2:32" ht="31.5" x14ac:dyDescent="0.35">
      <c r="B17" s="4">
        <v>4</v>
      </c>
      <c r="C17" s="4" t="s">
        <v>123</v>
      </c>
      <c r="D17" s="60"/>
      <c r="E17" s="57"/>
      <c r="F17" s="57"/>
      <c r="G17" s="57"/>
      <c r="H17" s="57"/>
      <c r="I17" s="115">
        <v>0.75</v>
      </c>
      <c r="J17" s="72" t="s">
        <v>124</v>
      </c>
      <c r="K17" s="65" t="s">
        <v>755</v>
      </c>
    </row>
    <row r="18" spans="2:32" s="40" customFormat="1" x14ac:dyDescent="0.35">
      <c r="R18" s="153"/>
      <c r="S18" s="153"/>
      <c r="T18" s="153"/>
      <c r="U18" s="153"/>
      <c r="V18" s="153"/>
      <c r="W18" s="153"/>
      <c r="X18" s="153"/>
      <c r="Y18" s="153"/>
      <c r="Z18" s="153"/>
      <c r="AA18" s="153"/>
      <c r="AB18" s="153"/>
      <c r="AC18" s="153"/>
      <c r="AD18" s="153"/>
      <c r="AE18" s="153"/>
      <c r="AF18" s="153"/>
    </row>
    <row r="19" spans="2:32" s="40" customFormat="1" x14ac:dyDescent="0.35">
      <c r="R19" s="153"/>
      <c r="S19" s="153"/>
      <c r="T19" s="153"/>
      <c r="U19" s="153"/>
      <c r="V19" s="153"/>
      <c r="W19" s="153"/>
      <c r="X19" s="153"/>
      <c r="Y19" s="153"/>
      <c r="Z19" s="153"/>
      <c r="AA19" s="153"/>
      <c r="AB19" s="153"/>
      <c r="AC19" s="153"/>
      <c r="AD19" s="153"/>
      <c r="AE19" s="153"/>
      <c r="AF19" s="153"/>
    </row>
    <row r="20" spans="2:32" s="40" customFormat="1" x14ac:dyDescent="0.35">
      <c r="R20" s="153"/>
      <c r="S20" s="153"/>
      <c r="T20" s="153"/>
      <c r="U20" s="153"/>
      <c r="V20" s="153"/>
      <c r="W20" s="153"/>
      <c r="X20" s="153"/>
      <c r="Y20" s="153"/>
      <c r="Z20" s="153"/>
      <c r="AA20" s="153"/>
      <c r="AB20" s="153"/>
      <c r="AC20" s="153"/>
      <c r="AD20" s="153"/>
      <c r="AE20" s="153"/>
      <c r="AF20" s="153"/>
    </row>
    <row r="21" spans="2:32" s="40" customFormat="1" x14ac:dyDescent="0.35">
      <c r="R21" s="153"/>
      <c r="S21" s="153"/>
      <c r="T21" s="153"/>
      <c r="U21" s="153"/>
      <c r="V21" s="153"/>
      <c r="W21" s="153"/>
      <c r="X21" s="153"/>
      <c r="Y21" s="153"/>
      <c r="Z21" s="153"/>
      <c r="AA21" s="153"/>
      <c r="AB21" s="153"/>
      <c r="AC21" s="153"/>
      <c r="AD21" s="153"/>
      <c r="AE21" s="153"/>
      <c r="AF21" s="153"/>
    </row>
    <row r="22" spans="2:32" s="40" customFormat="1" x14ac:dyDescent="0.35">
      <c r="R22" s="153"/>
      <c r="S22" s="153"/>
      <c r="T22" s="153"/>
      <c r="U22" s="153"/>
      <c r="V22" s="153"/>
      <c r="W22" s="153"/>
      <c r="X22" s="153"/>
      <c r="Y22" s="153"/>
      <c r="Z22" s="153"/>
      <c r="AA22" s="153"/>
      <c r="AB22" s="153"/>
      <c r="AC22" s="153"/>
      <c r="AD22" s="153"/>
      <c r="AE22" s="153"/>
      <c r="AF22" s="153"/>
    </row>
    <row r="23" spans="2:32" s="40" customFormat="1" x14ac:dyDescent="0.35">
      <c r="R23" s="153"/>
      <c r="S23" s="153"/>
      <c r="T23" s="153"/>
      <c r="U23" s="153"/>
      <c r="V23" s="153"/>
      <c r="W23" s="153"/>
      <c r="X23" s="153"/>
      <c r="Y23" s="153"/>
      <c r="Z23" s="153"/>
      <c r="AA23" s="153"/>
      <c r="AB23" s="153"/>
      <c r="AC23" s="153"/>
      <c r="AD23" s="153"/>
      <c r="AE23" s="153"/>
      <c r="AF23" s="153"/>
    </row>
    <row r="24" spans="2:32" s="40" customFormat="1" x14ac:dyDescent="0.35">
      <c r="R24" s="153"/>
      <c r="S24" s="153"/>
      <c r="T24" s="153"/>
      <c r="U24" s="153"/>
      <c r="V24" s="153"/>
      <c r="W24" s="153"/>
      <c r="X24" s="153"/>
      <c r="Y24" s="153"/>
      <c r="Z24" s="153"/>
      <c r="AA24" s="153"/>
      <c r="AB24" s="153"/>
      <c r="AC24" s="153"/>
      <c r="AD24" s="153"/>
      <c r="AE24" s="153"/>
      <c r="AF24" s="153"/>
    </row>
    <row r="25" spans="2:32" s="40" customFormat="1" x14ac:dyDescent="0.35">
      <c r="R25" s="153"/>
      <c r="S25" s="153"/>
      <c r="T25" s="153"/>
      <c r="U25" s="153"/>
      <c r="V25" s="153"/>
      <c r="W25" s="153"/>
      <c r="X25" s="153"/>
      <c r="Y25" s="153"/>
      <c r="Z25" s="153"/>
      <c r="AA25" s="153"/>
      <c r="AB25" s="153"/>
      <c r="AC25" s="153"/>
      <c r="AD25" s="153"/>
      <c r="AE25" s="153"/>
      <c r="AF25" s="153"/>
    </row>
    <row r="26" spans="2:32" s="40" customFormat="1" x14ac:dyDescent="0.35">
      <c r="R26" s="153"/>
      <c r="S26" s="153"/>
      <c r="T26" s="153"/>
      <c r="U26" s="153"/>
      <c r="V26" s="153"/>
      <c r="W26" s="153"/>
      <c r="X26" s="153"/>
      <c r="Y26" s="153"/>
      <c r="Z26" s="153"/>
      <c r="AA26" s="153"/>
      <c r="AB26" s="153"/>
      <c r="AC26" s="153"/>
      <c r="AD26" s="153"/>
      <c r="AE26" s="153"/>
      <c r="AF26" s="153"/>
    </row>
    <row r="27" spans="2:32" s="40" customFormat="1" x14ac:dyDescent="0.35">
      <c r="R27" s="153"/>
      <c r="S27" s="153"/>
      <c r="T27" s="153"/>
      <c r="U27" s="153"/>
      <c r="V27" s="153"/>
      <c r="W27" s="153"/>
      <c r="X27" s="153"/>
      <c r="Y27" s="153"/>
      <c r="Z27" s="153"/>
      <c r="AA27" s="153"/>
      <c r="AB27" s="153"/>
      <c r="AC27" s="153"/>
      <c r="AD27" s="153"/>
      <c r="AE27" s="153"/>
      <c r="AF27" s="153"/>
    </row>
  </sheetData>
  <mergeCells count="15">
    <mergeCell ref="K8:K13"/>
    <mergeCell ref="K6:K7"/>
    <mergeCell ref="B6:B7"/>
    <mergeCell ref="C6:C7"/>
    <mergeCell ref="D6:D7"/>
    <mergeCell ref="E6:I6"/>
    <mergeCell ref="J6:J7"/>
    <mergeCell ref="B15:B16"/>
    <mergeCell ref="J15:J16"/>
    <mergeCell ref="B8:B10"/>
    <mergeCell ref="C8:C10"/>
    <mergeCell ref="J8:J10"/>
    <mergeCell ref="B11:B13"/>
    <mergeCell ref="C11:C13"/>
    <mergeCell ref="J11:J1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24"/>
  <sheetViews>
    <sheetView topLeftCell="A4" workbookViewId="0">
      <selection activeCell="H12" sqref="H12"/>
    </sheetView>
  </sheetViews>
  <sheetFormatPr defaultRowHeight="14.5" x14ac:dyDescent="0.35"/>
  <cols>
    <col min="1" max="1" width="9.1796875" style="40"/>
    <col min="2" max="2" width="10.7265625" customWidth="1"/>
    <col min="3" max="3" width="51" customWidth="1"/>
    <col min="4" max="4" width="58.453125" customWidth="1"/>
    <col min="5" max="5" width="4.54296875" style="40" customWidth="1"/>
    <col min="6" max="35" width="9.1796875" style="40"/>
  </cols>
  <sheetData>
    <row r="1" spans="1:4" s="40" customFormat="1" ht="26" x14ac:dyDescent="0.6">
      <c r="A1" s="42" t="s">
        <v>125</v>
      </c>
    </row>
    <row r="2" spans="1:4" s="40" customFormat="1" x14ac:dyDescent="0.35">
      <c r="A2" s="40" t="s">
        <v>0</v>
      </c>
      <c r="B2" s="43" t="s">
        <v>71</v>
      </c>
      <c r="C2" s="40" t="s">
        <v>370</v>
      </c>
    </row>
    <row r="3" spans="1:4" s="40" customFormat="1" x14ac:dyDescent="0.35">
      <c r="A3" s="44" t="s">
        <v>76</v>
      </c>
      <c r="B3" s="43">
        <v>19</v>
      </c>
      <c r="C3" s="40" t="s">
        <v>369</v>
      </c>
    </row>
    <row r="4" spans="1:4" s="40" customFormat="1" x14ac:dyDescent="0.35"/>
    <row r="5" spans="1:4" s="40" customFormat="1" x14ac:dyDescent="0.35"/>
    <row r="6" spans="1:4" ht="26" x14ac:dyDescent="0.35">
      <c r="B6" s="82" t="s">
        <v>359</v>
      </c>
      <c r="C6" s="82" t="s">
        <v>360</v>
      </c>
      <c r="D6" s="82" t="s">
        <v>113</v>
      </c>
    </row>
    <row r="7" spans="1:4" s="40" customFormat="1" ht="39" x14ac:dyDescent="0.35">
      <c r="B7" s="76">
        <v>1</v>
      </c>
      <c r="C7" s="147" t="s">
        <v>361</v>
      </c>
      <c r="D7" s="183" t="s">
        <v>610</v>
      </c>
    </row>
    <row r="8" spans="1:4" s="40" customFormat="1" ht="52" x14ac:dyDescent="0.35">
      <c r="B8" s="76">
        <v>5</v>
      </c>
      <c r="C8" s="147" t="s">
        <v>362</v>
      </c>
      <c r="D8" s="183" t="s">
        <v>611</v>
      </c>
    </row>
    <row r="9" spans="1:4" s="40" customFormat="1" ht="52" x14ac:dyDescent="0.35">
      <c r="B9" s="76">
        <v>2</v>
      </c>
      <c r="C9" s="147" t="s">
        <v>363</v>
      </c>
      <c r="D9" s="183" t="s">
        <v>612</v>
      </c>
    </row>
    <row r="10" spans="1:4" s="40" customFormat="1" ht="65" x14ac:dyDescent="0.35">
      <c r="B10" s="76">
        <v>7</v>
      </c>
      <c r="C10" s="147" t="s">
        <v>364</v>
      </c>
      <c r="D10" s="183" t="s">
        <v>613</v>
      </c>
    </row>
    <row r="11" spans="1:4" s="40" customFormat="1" ht="39" x14ac:dyDescent="0.35">
      <c r="B11" s="76">
        <v>8</v>
      </c>
      <c r="C11" s="147" t="s">
        <v>365</v>
      </c>
      <c r="D11" s="183" t="s">
        <v>614</v>
      </c>
    </row>
    <row r="12" spans="1:4" s="40" customFormat="1" ht="52" x14ac:dyDescent="0.35">
      <c r="B12" s="76">
        <v>6</v>
      </c>
      <c r="C12" s="147" t="s">
        <v>366</v>
      </c>
      <c r="D12" s="183" t="s">
        <v>615</v>
      </c>
    </row>
    <row r="13" spans="1:4" s="40" customFormat="1" ht="91" x14ac:dyDescent="0.35">
      <c r="B13" s="76">
        <v>3</v>
      </c>
      <c r="C13" s="147" t="s">
        <v>367</v>
      </c>
      <c r="D13" s="183" t="s">
        <v>616</v>
      </c>
    </row>
    <row r="14" spans="1:4" s="40" customFormat="1" ht="91" x14ac:dyDescent="0.35">
      <c r="B14" s="76">
        <v>4</v>
      </c>
      <c r="C14" s="147" t="s">
        <v>368</v>
      </c>
      <c r="D14" s="183" t="s">
        <v>617</v>
      </c>
    </row>
    <row r="15" spans="1:4" s="40" customFormat="1" x14ac:dyDescent="0.35"/>
    <row r="16" spans="1:4" s="40" customFormat="1" x14ac:dyDescent="0.35"/>
    <row r="17" s="40" customFormat="1" x14ac:dyDescent="0.35"/>
    <row r="18" s="40" customFormat="1" x14ac:dyDescent="0.35"/>
    <row r="19" s="40" customFormat="1" x14ac:dyDescent="0.35"/>
    <row r="20" s="40" customFormat="1" x14ac:dyDescent="0.35"/>
    <row r="21" s="40" customFormat="1" x14ac:dyDescent="0.35"/>
    <row r="22" s="40" customFormat="1" x14ac:dyDescent="0.35"/>
    <row r="23" s="40" customFormat="1" x14ac:dyDescent="0.35"/>
    <row r="24" s="40" customFormat="1" x14ac:dyDescent="0.35"/>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4"/>
  <sheetViews>
    <sheetView workbookViewId="0">
      <selection activeCell="G23" sqref="G23"/>
    </sheetView>
  </sheetViews>
  <sheetFormatPr defaultRowHeight="14.5" x14ac:dyDescent="0.35"/>
  <cols>
    <col min="1" max="1" width="9.1796875" style="40"/>
    <col min="2" max="2" width="10.7265625" customWidth="1"/>
    <col min="3" max="3" width="53.7265625" customWidth="1"/>
    <col min="4" max="4" width="42.26953125" customWidth="1"/>
    <col min="5" max="5" width="33.7265625" customWidth="1"/>
    <col min="6" max="6" width="4.54296875" style="40" customWidth="1"/>
    <col min="7" max="19" width="9.1796875" style="40"/>
  </cols>
  <sheetData>
    <row r="1" spans="1:5" s="40" customFormat="1" ht="26" x14ac:dyDescent="0.6">
      <c r="A1" s="42" t="s">
        <v>125</v>
      </c>
    </row>
    <row r="2" spans="1:5" s="40" customFormat="1" x14ac:dyDescent="0.35">
      <c r="A2" s="40" t="s">
        <v>0</v>
      </c>
      <c r="B2" s="43">
        <v>4.4000000000000004</v>
      </c>
      <c r="C2" s="40" t="s">
        <v>371</v>
      </c>
    </row>
    <row r="3" spans="1:5" s="40" customFormat="1" x14ac:dyDescent="0.35">
      <c r="A3" s="44" t="s">
        <v>76</v>
      </c>
      <c r="B3" s="43">
        <v>20</v>
      </c>
      <c r="C3" s="40" t="s">
        <v>369</v>
      </c>
    </row>
    <row r="4" spans="1:5" s="40" customFormat="1" x14ac:dyDescent="0.35"/>
    <row r="5" spans="1:5" s="40" customFormat="1" x14ac:dyDescent="0.35"/>
    <row r="6" spans="1:5" ht="26" x14ac:dyDescent="0.35">
      <c r="B6" s="33" t="s">
        <v>372</v>
      </c>
      <c r="C6" s="33" t="s">
        <v>373</v>
      </c>
      <c r="D6" s="33" t="s">
        <v>381</v>
      </c>
      <c r="E6" s="33" t="s">
        <v>113</v>
      </c>
    </row>
    <row r="7" spans="1:5" s="40" customFormat="1" ht="26.25" customHeight="1" x14ac:dyDescent="0.35">
      <c r="B7" s="76">
        <v>4</v>
      </c>
      <c r="C7" s="147" t="s">
        <v>374</v>
      </c>
      <c r="D7" s="76" t="s">
        <v>778</v>
      </c>
      <c r="E7" s="278" t="s">
        <v>779</v>
      </c>
    </row>
    <row r="8" spans="1:5" s="40" customFormat="1" ht="26" x14ac:dyDescent="0.35">
      <c r="B8" s="76">
        <v>3</v>
      </c>
      <c r="C8" s="147" t="s">
        <v>376</v>
      </c>
      <c r="D8" s="76" t="s">
        <v>778</v>
      </c>
      <c r="E8" s="279"/>
    </row>
    <row r="9" spans="1:5" s="40" customFormat="1" ht="39" x14ac:dyDescent="0.35">
      <c r="B9" s="76">
        <v>6</v>
      </c>
      <c r="C9" s="147" t="s">
        <v>382</v>
      </c>
      <c r="D9" s="76" t="s">
        <v>778</v>
      </c>
      <c r="E9" s="278" t="s">
        <v>780</v>
      </c>
    </row>
    <row r="10" spans="1:5" s="40" customFormat="1" ht="52" x14ac:dyDescent="0.35">
      <c r="B10" s="76">
        <v>5</v>
      </c>
      <c r="C10" s="147" t="s">
        <v>377</v>
      </c>
      <c r="D10" s="76" t="s">
        <v>778</v>
      </c>
      <c r="E10" s="279"/>
    </row>
    <row r="11" spans="1:5" s="40" customFormat="1" ht="45" customHeight="1" x14ac:dyDescent="0.35">
      <c r="B11" s="76">
        <v>2</v>
      </c>
      <c r="C11" s="147" t="s">
        <v>379</v>
      </c>
      <c r="D11" s="76" t="s">
        <v>783</v>
      </c>
      <c r="E11" s="278" t="s">
        <v>781</v>
      </c>
    </row>
    <row r="12" spans="1:5" s="40" customFormat="1" ht="39" x14ac:dyDescent="0.35">
      <c r="B12" s="76">
        <v>1</v>
      </c>
      <c r="C12" s="147" t="s">
        <v>380</v>
      </c>
      <c r="D12" s="76" t="s">
        <v>783</v>
      </c>
      <c r="E12" s="279"/>
    </row>
    <row r="13" spans="1:5" s="40" customFormat="1" ht="24.65" customHeight="1" x14ac:dyDescent="0.35">
      <c r="B13" s="76">
        <v>8</v>
      </c>
      <c r="C13" s="147" t="s">
        <v>375</v>
      </c>
      <c r="D13" s="76" t="s">
        <v>778</v>
      </c>
      <c r="E13" s="278" t="s">
        <v>782</v>
      </c>
    </row>
    <row r="14" spans="1:5" s="40" customFormat="1" ht="26" x14ac:dyDescent="0.35">
      <c r="B14" s="76">
        <v>7</v>
      </c>
      <c r="C14" s="147" t="s">
        <v>378</v>
      </c>
      <c r="D14" s="76" t="s">
        <v>778</v>
      </c>
      <c r="E14" s="279"/>
    </row>
    <row r="15" spans="1:5" s="40" customFormat="1" x14ac:dyDescent="0.35">
      <c r="B15" s="76" t="s">
        <v>51</v>
      </c>
      <c r="C15" s="147" t="s">
        <v>64</v>
      </c>
      <c r="D15" s="76" t="s">
        <v>51</v>
      </c>
      <c r="E15" s="148" t="s">
        <v>51</v>
      </c>
    </row>
    <row r="16" spans="1:5" s="40" customFormat="1" x14ac:dyDescent="0.35"/>
    <row r="17" s="40" customFormat="1" x14ac:dyDescent="0.35"/>
    <row r="18" s="40" customFormat="1" x14ac:dyDescent="0.35"/>
    <row r="19" s="40" customFormat="1" x14ac:dyDescent="0.35"/>
    <row r="20" s="40" customFormat="1" x14ac:dyDescent="0.35"/>
    <row r="21" s="40" customFormat="1" x14ac:dyDescent="0.35"/>
    <row r="22" s="40" customFormat="1" x14ac:dyDescent="0.35"/>
    <row r="23" s="40" customFormat="1" x14ac:dyDescent="0.35"/>
    <row r="24" s="40" customFormat="1" x14ac:dyDescent="0.35"/>
    <row r="25" s="40" customFormat="1" x14ac:dyDescent="0.35"/>
    <row r="26" s="40" customFormat="1" x14ac:dyDescent="0.35"/>
    <row r="27" s="40" customFormat="1" x14ac:dyDescent="0.35"/>
    <row r="28" s="40" customFormat="1" x14ac:dyDescent="0.35"/>
    <row r="29" s="40" customFormat="1" x14ac:dyDescent="0.35"/>
    <row r="30" s="40" customFormat="1" x14ac:dyDescent="0.35"/>
    <row r="31" s="40" customFormat="1" x14ac:dyDescent="0.35"/>
    <row r="32" s="40" customFormat="1" x14ac:dyDescent="0.35"/>
    <row r="33" s="40" customFormat="1" x14ac:dyDescent="0.35"/>
    <row r="34" s="40" customFormat="1" x14ac:dyDescent="0.35"/>
  </sheetData>
  <mergeCells count="4">
    <mergeCell ref="E7:E8"/>
    <mergeCell ref="E9:E10"/>
    <mergeCell ref="E11:E12"/>
    <mergeCell ref="E13:E1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51"/>
  <sheetViews>
    <sheetView topLeftCell="A10" zoomScale="115" zoomScaleNormal="115" workbookViewId="0">
      <selection activeCell="Q22" sqref="Q1:Q1048576"/>
    </sheetView>
  </sheetViews>
  <sheetFormatPr defaultRowHeight="14.5" x14ac:dyDescent="0.35"/>
  <cols>
    <col min="2" max="2" width="17.54296875" customWidth="1"/>
    <col min="3" max="3" width="17.26953125" customWidth="1"/>
    <col min="4" max="14" width="8.1796875" customWidth="1"/>
    <col min="15" max="15" width="15.453125" customWidth="1"/>
  </cols>
  <sheetData>
    <row r="1" spans="1:17" ht="26" x14ac:dyDescent="0.6">
      <c r="A1" s="6" t="s">
        <v>125</v>
      </c>
    </row>
    <row r="2" spans="1:17" x14ac:dyDescent="0.35">
      <c r="A2" t="s">
        <v>0</v>
      </c>
      <c r="B2" s="16" t="s">
        <v>72</v>
      </c>
      <c r="C2" t="s">
        <v>384</v>
      </c>
    </row>
    <row r="3" spans="1:17" x14ac:dyDescent="0.35">
      <c r="A3" s="5" t="s">
        <v>76</v>
      </c>
      <c r="B3" s="16">
        <v>21</v>
      </c>
      <c r="C3" t="s">
        <v>383</v>
      </c>
    </row>
    <row r="9" spans="1:17" s="35" customFormat="1" ht="80" x14ac:dyDescent="0.35">
      <c r="B9" s="36" t="s">
        <v>385</v>
      </c>
      <c r="C9" s="36" t="s">
        <v>386</v>
      </c>
      <c r="D9" s="36" t="s">
        <v>387</v>
      </c>
      <c r="E9" s="36" t="s">
        <v>388</v>
      </c>
      <c r="F9" s="36" t="s">
        <v>389</v>
      </c>
      <c r="G9" s="36" t="s">
        <v>390</v>
      </c>
      <c r="H9" s="36" t="s">
        <v>391</v>
      </c>
      <c r="I9" s="36" t="s">
        <v>392</v>
      </c>
      <c r="J9" s="36" t="s">
        <v>393</v>
      </c>
      <c r="K9" s="36" t="s">
        <v>394</v>
      </c>
      <c r="L9" s="36" t="s">
        <v>395</v>
      </c>
      <c r="M9" s="36" t="s">
        <v>396</v>
      </c>
      <c r="N9" s="36" t="s">
        <v>397</v>
      </c>
      <c r="O9" s="36" t="s">
        <v>113</v>
      </c>
    </row>
    <row r="10" spans="1:17" x14ac:dyDescent="0.35">
      <c r="B10" s="280" t="s">
        <v>401</v>
      </c>
      <c r="C10" s="37" t="s">
        <v>398</v>
      </c>
      <c r="D10" s="281" t="s">
        <v>804</v>
      </c>
      <c r="E10" s="282"/>
      <c r="F10" s="282"/>
      <c r="G10" s="282"/>
      <c r="H10" s="282"/>
      <c r="I10" s="282"/>
      <c r="J10" s="282"/>
      <c r="K10" s="282"/>
      <c r="L10" s="282"/>
      <c r="M10" s="282"/>
      <c r="N10" s="282"/>
      <c r="O10" s="283"/>
      <c r="P10" s="7"/>
      <c r="Q10" s="7"/>
    </row>
    <row r="11" spans="1:17" x14ac:dyDescent="0.35">
      <c r="B11" s="280"/>
      <c r="C11" s="37" t="s">
        <v>399</v>
      </c>
      <c r="D11" s="284"/>
      <c r="E11" s="285"/>
      <c r="F11" s="285"/>
      <c r="G11" s="285"/>
      <c r="H11" s="285"/>
      <c r="I11" s="285"/>
      <c r="J11" s="285"/>
      <c r="K11" s="285"/>
      <c r="L11" s="285"/>
      <c r="M11" s="285"/>
      <c r="N11" s="285"/>
      <c r="O11" s="286"/>
      <c r="P11" s="7"/>
      <c r="Q11" s="7"/>
    </row>
    <row r="12" spans="1:17" x14ac:dyDescent="0.35">
      <c r="B12" s="280"/>
      <c r="C12" s="37">
        <v>2020</v>
      </c>
      <c r="D12" s="284"/>
      <c r="E12" s="285"/>
      <c r="F12" s="285"/>
      <c r="G12" s="285"/>
      <c r="H12" s="285"/>
      <c r="I12" s="285"/>
      <c r="J12" s="285"/>
      <c r="K12" s="285"/>
      <c r="L12" s="285"/>
      <c r="M12" s="285"/>
      <c r="N12" s="285"/>
      <c r="O12" s="286"/>
      <c r="P12" s="7"/>
      <c r="Q12" s="7"/>
    </row>
    <row r="13" spans="1:17" x14ac:dyDescent="0.35">
      <c r="B13" s="280"/>
      <c r="C13" s="37">
        <v>2021</v>
      </c>
      <c r="D13" s="284"/>
      <c r="E13" s="285"/>
      <c r="F13" s="285"/>
      <c r="G13" s="285"/>
      <c r="H13" s="285"/>
      <c r="I13" s="285"/>
      <c r="J13" s="285"/>
      <c r="K13" s="285"/>
      <c r="L13" s="285"/>
      <c r="M13" s="285"/>
      <c r="N13" s="285"/>
      <c r="O13" s="286"/>
      <c r="P13" s="7"/>
      <c r="Q13" s="7"/>
    </row>
    <row r="14" spans="1:17" x14ac:dyDescent="0.35">
      <c r="B14" s="280"/>
      <c r="C14" s="37">
        <v>2022</v>
      </c>
      <c r="D14" s="284"/>
      <c r="E14" s="285"/>
      <c r="F14" s="285"/>
      <c r="G14" s="285"/>
      <c r="H14" s="285"/>
      <c r="I14" s="285"/>
      <c r="J14" s="285"/>
      <c r="K14" s="285"/>
      <c r="L14" s="285"/>
      <c r="M14" s="285"/>
      <c r="N14" s="285"/>
      <c r="O14" s="286"/>
      <c r="P14" s="7"/>
      <c r="Q14" s="7"/>
    </row>
    <row r="15" spans="1:17" x14ac:dyDescent="0.35">
      <c r="B15" s="280"/>
      <c r="C15" s="37" t="s">
        <v>400</v>
      </c>
      <c r="D15" s="287"/>
      <c r="E15" s="288"/>
      <c r="F15" s="288"/>
      <c r="G15" s="288"/>
      <c r="H15" s="288"/>
      <c r="I15" s="288"/>
      <c r="J15" s="288"/>
      <c r="K15" s="288"/>
      <c r="L15" s="288"/>
      <c r="M15" s="288"/>
      <c r="N15" s="288"/>
      <c r="O15" s="289"/>
      <c r="P15" s="7"/>
      <c r="Q15" s="7"/>
    </row>
    <row r="16" spans="1:17" x14ac:dyDescent="0.35">
      <c r="B16" s="280" t="s">
        <v>402</v>
      </c>
      <c r="C16" s="37" t="s">
        <v>398</v>
      </c>
      <c r="D16" s="281" t="s">
        <v>805</v>
      </c>
      <c r="E16" s="282" t="s">
        <v>777</v>
      </c>
      <c r="F16" s="282" t="s">
        <v>806</v>
      </c>
      <c r="G16" s="282" t="s">
        <v>777</v>
      </c>
      <c r="H16" s="282" t="s">
        <v>777</v>
      </c>
      <c r="I16" s="282" t="s">
        <v>777</v>
      </c>
      <c r="J16" s="282" t="s">
        <v>777</v>
      </c>
      <c r="K16" s="282" t="s">
        <v>777</v>
      </c>
      <c r="L16" s="282" t="s">
        <v>777</v>
      </c>
      <c r="M16" s="282" t="s">
        <v>777</v>
      </c>
      <c r="N16" s="282" t="s">
        <v>777</v>
      </c>
      <c r="O16" s="283" t="s">
        <v>777</v>
      </c>
      <c r="P16" s="7"/>
      <c r="Q16" s="7"/>
    </row>
    <row r="17" spans="2:17" x14ac:dyDescent="0.35">
      <c r="B17" s="280"/>
      <c r="C17" s="37" t="s">
        <v>399</v>
      </c>
      <c r="D17" s="284" t="s">
        <v>777</v>
      </c>
      <c r="E17" s="285" t="s">
        <v>777</v>
      </c>
      <c r="F17" s="285"/>
      <c r="G17" s="285" t="s">
        <v>777</v>
      </c>
      <c r="H17" s="285" t="s">
        <v>777</v>
      </c>
      <c r="I17" s="285" t="s">
        <v>777</v>
      </c>
      <c r="J17" s="285" t="s">
        <v>777</v>
      </c>
      <c r="K17" s="285" t="s">
        <v>777</v>
      </c>
      <c r="L17" s="285" t="s">
        <v>777</v>
      </c>
      <c r="M17" s="285" t="s">
        <v>777</v>
      </c>
      <c r="N17" s="285" t="s">
        <v>777</v>
      </c>
      <c r="O17" s="286" t="s">
        <v>777</v>
      </c>
      <c r="P17" s="7"/>
      <c r="Q17" s="7"/>
    </row>
    <row r="18" spans="2:17" x14ac:dyDescent="0.35">
      <c r="B18" s="280"/>
      <c r="C18" s="37">
        <v>2020</v>
      </c>
      <c r="D18" s="284" t="s">
        <v>777</v>
      </c>
      <c r="E18" s="285" t="s">
        <v>777</v>
      </c>
      <c r="F18" s="285"/>
      <c r="G18" s="285" t="s">
        <v>777</v>
      </c>
      <c r="H18" s="285" t="s">
        <v>777</v>
      </c>
      <c r="I18" s="285" t="s">
        <v>777</v>
      </c>
      <c r="J18" s="285" t="s">
        <v>777</v>
      </c>
      <c r="K18" s="285" t="s">
        <v>777</v>
      </c>
      <c r="L18" s="285" t="s">
        <v>777</v>
      </c>
      <c r="M18" s="285" t="s">
        <v>777</v>
      </c>
      <c r="N18" s="285" t="s">
        <v>777</v>
      </c>
      <c r="O18" s="286" t="s">
        <v>777</v>
      </c>
      <c r="P18" s="7"/>
      <c r="Q18" s="7"/>
    </row>
    <row r="19" spans="2:17" x14ac:dyDescent="0.35">
      <c r="B19" s="280"/>
      <c r="C19" s="37">
        <v>2021</v>
      </c>
      <c r="D19" s="284" t="s">
        <v>777</v>
      </c>
      <c r="E19" s="285" t="s">
        <v>777</v>
      </c>
      <c r="F19" s="285"/>
      <c r="G19" s="285" t="s">
        <v>777</v>
      </c>
      <c r="H19" s="285" t="s">
        <v>777</v>
      </c>
      <c r="I19" s="285" t="s">
        <v>777</v>
      </c>
      <c r="J19" s="285" t="s">
        <v>777</v>
      </c>
      <c r="K19" s="285" t="s">
        <v>777</v>
      </c>
      <c r="L19" s="285" t="s">
        <v>777</v>
      </c>
      <c r="M19" s="285" t="s">
        <v>777</v>
      </c>
      <c r="N19" s="285" t="s">
        <v>777</v>
      </c>
      <c r="O19" s="286" t="s">
        <v>777</v>
      </c>
      <c r="P19" s="7"/>
      <c r="Q19" s="7"/>
    </row>
    <row r="20" spans="2:17" x14ac:dyDescent="0.35">
      <c r="B20" s="280"/>
      <c r="C20" s="37">
        <v>2022</v>
      </c>
      <c r="D20" s="284" t="s">
        <v>777</v>
      </c>
      <c r="E20" s="285" t="s">
        <v>777</v>
      </c>
      <c r="F20" s="285"/>
      <c r="G20" s="285" t="s">
        <v>777</v>
      </c>
      <c r="H20" s="285" t="s">
        <v>777</v>
      </c>
      <c r="I20" s="285" t="s">
        <v>777</v>
      </c>
      <c r="J20" s="285" t="s">
        <v>777</v>
      </c>
      <c r="K20" s="285" t="s">
        <v>777</v>
      </c>
      <c r="L20" s="285" t="s">
        <v>777</v>
      </c>
      <c r="M20" s="285" t="s">
        <v>777</v>
      </c>
      <c r="N20" s="285" t="s">
        <v>777</v>
      </c>
      <c r="O20" s="286" t="s">
        <v>777</v>
      </c>
      <c r="P20" s="7"/>
      <c r="Q20" s="7"/>
    </row>
    <row r="21" spans="2:17" x14ac:dyDescent="0.35">
      <c r="B21" s="280"/>
      <c r="C21" s="37" t="s">
        <v>400</v>
      </c>
      <c r="D21" s="287" t="s">
        <v>777</v>
      </c>
      <c r="E21" s="288" t="s">
        <v>777</v>
      </c>
      <c r="F21" s="288"/>
      <c r="G21" s="288" t="s">
        <v>777</v>
      </c>
      <c r="H21" s="288" t="s">
        <v>777</v>
      </c>
      <c r="I21" s="288" t="s">
        <v>777</v>
      </c>
      <c r="J21" s="288" t="s">
        <v>777</v>
      </c>
      <c r="K21" s="288" t="s">
        <v>777</v>
      </c>
      <c r="L21" s="288" t="s">
        <v>777</v>
      </c>
      <c r="M21" s="288" t="s">
        <v>777</v>
      </c>
      <c r="N21" s="288" t="s">
        <v>777</v>
      </c>
      <c r="O21" s="289" t="s">
        <v>777</v>
      </c>
      <c r="P21" s="7"/>
      <c r="Q21" s="7"/>
    </row>
    <row r="22" spans="2:17" x14ac:dyDescent="0.35">
      <c r="B22" s="280" t="s">
        <v>403</v>
      </c>
      <c r="C22" s="37" t="s">
        <v>398</v>
      </c>
      <c r="D22" s="49" t="s">
        <v>51</v>
      </c>
      <c r="E22" s="49" t="s">
        <v>51</v>
      </c>
      <c r="F22" s="293" t="s">
        <v>806</v>
      </c>
      <c r="G22" s="290" t="s">
        <v>807</v>
      </c>
      <c r="H22" s="290" t="s">
        <v>51</v>
      </c>
      <c r="I22" s="296" t="s">
        <v>808</v>
      </c>
      <c r="J22" s="290" t="s">
        <v>809</v>
      </c>
      <c r="K22" s="290" t="s">
        <v>51</v>
      </c>
      <c r="L22" s="290" t="s">
        <v>786</v>
      </c>
      <c r="M22" s="290" t="s">
        <v>810</v>
      </c>
      <c r="N22" s="290" t="s">
        <v>811</v>
      </c>
      <c r="O22" s="293" t="s">
        <v>817</v>
      </c>
      <c r="P22" s="7"/>
      <c r="Q22" s="7"/>
    </row>
    <row r="23" spans="2:17" x14ac:dyDescent="0.35">
      <c r="B23" s="280"/>
      <c r="C23" s="37" t="s">
        <v>399</v>
      </c>
      <c r="D23" s="49" t="s">
        <v>51</v>
      </c>
      <c r="E23" s="49" t="s">
        <v>51</v>
      </c>
      <c r="F23" s="294"/>
      <c r="G23" s="291"/>
      <c r="H23" s="291"/>
      <c r="I23" s="297" t="s">
        <v>777</v>
      </c>
      <c r="J23" s="291" t="s">
        <v>777</v>
      </c>
      <c r="K23" s="291"/>
      <c r="L23" s="291"/>
      <c r="M23" s="291"/>
      <c r="N23" s="291"/>
      <c r="O23" s="294"/>
      <c r="P23" s="7"/>
      <c r="Q23" s="7"/>
    </row>
    <row r="24" spans="2:17" x14ac:dyDescent="0.35">
      <c r="B24" s="280"/>
      <c r="C24" s="37">
        <v>2020</v>
      </c>
      <c r="D24" s="49">
        <v>1</v>
      </c>
      <c r="E24" s="184">
        <v>25000</v>
      </c>
      <c r="F24" s="294"/>
      <c r="G24" s="291"/>
      <c r="H24" s="291"/>
      <c r="I24" s="297" t="s">
        <v>777</v>
      </c>
      <c r="J24" s="291" t="s">
        <v>777</v>
      </c>
      <c r="K24" s="291"/>
      <c r="L24" s="291"/>
      <c r="M24" s="291"/>
      <c r="N24" s="291"/>
      <c r="O24" s="294"/>
      <c r="P24" s="7"/>
      <c r="Q24" s="7"/>
    </row>
    <row r="25" spans="2:17" x14ac:dyDescent="0.35">
      <c r="B25" s="280"/>
      <c r="C25" s="37">
        <v>2021</v>
      </c>
      <c r="D25" s="49">
        <v>1</v>
      </c>
      <c r="E25" s="184">
        <v>25000</v>
      </c>
      <c r="F25" s="294"/>
      <c r="G25" s="291"/>
      <c r="H25" s="291"/>
      <c r="I25" s="297" t="s">
        <v>777</v>
      </c>
      <c r="J25" s="291" t="s">
        <v>777</v>
      </c>
      <c r="K25" s="291"/>
      <c r="L25" s="291"/>
      <c r="M25" s="291"/>
      <c r="N25" s="291"/>
      <c r="O25" s="294"/>
      <c r="P25" s="7"/>
      <c r="Q25" s="7"/>
    </row>
    <row r="26" spans="2:17" x14ac:dyDescent="0.35">
      <c r="B26" s="280"/>
      <c r="C26" s="37">
        <v>2022</v>
      </c>
      <c r="D26" s="49">
        <v>1</v>
      </c>
      <c r="E26" s="184">
        <v>25000</v>
      </c>
      <c r="F26" s="294"/>
      <c r="G26" s="291"/>
      <c r="H26" s="291"/>
      <c r="I26" s="297" t="s">
        <v>777</v>
      </c>
      <c r="J26" s="291" t="s">
        <v>777</v>
      </c>
      <c r="K26" s="291"/>
      <c r="L26" s="291"/>
      <c r="M26" s="291"/>
      <c r="N26" s="291"/>
      <c r="O26" s="294"/>
      <c r="P26" s="7"/>
      <c r="Q26" s="7"/>
    </row>
    <row r="27" spans="2:17" x14ac:dyDescent="0.35">
      <c r="B27" s="280"/>
      <c r="C27" s="37" t="s">
        <v>400</v>
      </c>
      <c r="D27" s="49">
        <v>3</v>
      </c>
      <c r="E27" s="185">
        <v>25000</v>
      </c>
      <c r="F27" s="295"/>
      <c r="G27" s="292"/>
      <c r="H27" s="292"/>
      <c r="I27" s="298" t="s">
        <v>777</v>
      </c>
      <c r="J27" s="292" t="s">
        <v>777</v>
      </c>
      <c r="K27" s="292"/>
      <c r="L27" s="292"/>
      <c r="M27" s="292"/>
      <c r="N27" s="292"/>
      <c r="O27" s="295"/>
      <c r="P27" s="7"/>
      <c r="Q27" s="7"/>
    </row>
    <row r="28" spans="2:17" ht="15" customHeight="1" x14ac:dyDescent="0.35">
      <c r="B28" s="280" t="s">
        <v>404</v>
      </c>
      <c r="C28" s="37" t="s">
        <v>398</v>
      </c>
      <c r="D28" s="290" t="s">
        <v>51</v>
      </c>
      <c r="E28" s="290" t="s">
        <v>51</v>
      </c>
      <c r="F28" s="290" t="s">
        <v>812</v>
      </c>
      <c r="G28" s="290" t="s">
        <v>807</v>
      </c>
      <c r="H28" s="290" t="s">
        <v>51</v>
      </c>
      <c r="I28" s="296" t="s">
        <v>813</v>
      </c>
      <c r="J28" s="290" t="s">
        <v>514</v>
      </c>
      <c r="K28" s="290" t="s">
        <v>51</v>
      </c>
      <c r="L28" s="290" t="s">
        <v>786</v>
      </c>
      <c r="M28" s="290" t="s">
        <v>810</v>
      </c>
      <c r="N28" s="290" t="s">
        <v>811</v>
      </c>
      <c r="O28" s="299" t="s">
        <v>814</v>
      </c>
    </row>
    <row r="29" spans="2:17" x14ac:dyDescent="0.35">
      <c r="B29" s="280"/>
      <c r="C29" s="37" t="s">
        <v>399</v>
      </c>
      <c r="D29" s="291"/>
      <c r="E29" s="291"/>
      <c r="F29" s="291"/>
      <c r="G29" s="291"/>
      <c r="H29" s="291"/>
      <c r="I29" s="297" t="s">
        <v>777</v>
      </c>
      <c r="J29" s="291" t="s">
        <v>777</v>
      </c>
      <c r="K29" s="291"/>
      <c r="L29" s="291"/>
      <c r="M29" s="291"/>
      <c r="N29" s="291"/>
      <c r="O29" s="300"/>
    </row>
    <row r="30" spans="2:17" x14ac:dyDescent="0.35">
      <c r="B30" s="280"/>
      <c r="C30" s="37">
        <v>2020</v>
      </c>
      <c r="D30" s="291"/>
      <c r="E30" s="291"/>
      <c r="F30" s="291"/>
      <c r="G30" s="291"/>
      <c r="H30" s="291"/>
      <c r="I30" s="297" t="s">
        <v>777</v>
      </c>
      <c r="J30" s="291" t="s">
        <v>777</v>
      </c>
      <c r="K30" s="291"/>
      <c r="L30" s="291"/>
      <c r="M30" s="291"/>
      <c r="N30" s="291"/>
      <c r="O30" s="300"/>
    </row>
    <row r="31" spans="2:17" x14ac:dyDescent="0.35">
      <c r="B31" s="280"/>
      <c r="C31" s="37">
        <v>2021</v>
      </c>
      <c r="D31" s="291"/>
      <c r="E31" s="291"/>
      <c r="F31" s="291"/>
      <c r="G31" s="291"/>
      <c r="H31" s="291"/>
      <c r="I31" s="297" t="s">
        <v>777</v>
      </c>
      <c r="J31" s="291" t="s">
        <v>777</v>
      </c>
      <c r="K31" s="291"/>
      <c r="L31" s="291"/>
      <c r="M31" s="291"/>
      <c r="N31" s="291"/>
      <c r="O31" s="300"/>
    </row>
    <row r="32" spans="2:17" x14ac:dyDescent="0.35">
      <c r="B32" s="280"/>
      <c r="C32" s="37">
        <v>2022</v>
      </c>
      <c r="D32" s="291"/>
      <c r="E32" s="291"/>
      <c r="F32" s="291"/>
      <c r="G32" s="291"/>
      <c r="H32" s="291"/>
      <c r="I32" s="297" t="s">
        <v>777</v>
      </c>
      <c r="J32" s="291" t="s">
        <v>777</v>
      </c>
      <c r="K32" s="291"/>
      <c r="L32" s="291"/>
      <c r="M32" s="291"/>
      <c r="N32" s="291"/>
      <c r="O32" s="300"/>
    </row>
    <row r="33" spans="2:15" x14ac:dyDescent="0.35">
      <c r="B33" s="280"/>
      <c r="C33" s="37" t="s">
        <v>400</v>
      </c>
      <c r="D33" s="292"/>
      <c r="E33" s="292"/>
      <c r="F33" s="292"/>
      <c r="G33" s="292"/>
      <c r="H33" s="292"/>
      <c r="I33" s="298" t="s">
        <v>777</v>
      </c>
      <c r="J33" s="292" t="s">
        <v>777</v>
      </c>
      <c r="K33" s="292"/>
      <c r="L33" s="292"/>
      <c r="M33" s="292"/>
      <c r="N33" s="292"/>
      <c r="O33" s="303"/>
    </row>
    <row r="34" spans="2:15" x14ac:dyDescent="0.35">
      <c r="B34" s="280" t="s">
        <v>405</v>
      </c>
      <c r="C34" s="37" t="s">
        <v>398</v>
      </c>
      <c r="D34" s="281" t="s">
        <v>815</v>
      </c>
      <c r="E34" s="282"/>
      <c r="F34" s="282"/>
      <c r="G34" s="282"/>
      <c r="H34" s="282"/>
      <c r="I34" s="282"/>
      <c r="J34" s="282"/>
      <c r="K34" s="282"/>
      <c r="L34" s="282"/>
      <c r="M34" s="282"/>
      <c r="N34" s="282"/>
      <c r="O34" s="283"/>
    </row>
    <row r="35" spans="2:15" x14ac:dyDescent="0.35">
      <c r="B35" s="280"/>
      <c r="C35" s="37" t="s">
        <v>399</v>
      </c>
      <c r="D35" s="284"/>
      <c r="E35" s="285"/>
      <c r="F35" s="285"/>
      <c r="G35" s="285"/>
      <c r="H35" s="285"/>
      <c r="I35" s="285"/>
      <c r="J35" s="285"/>
      <c r="K35" s="285"/>
      <c r="L35" s="285"/>
      <c r="M35" s="285"/>
      <c r="N35" s="285"/>
      <c r="O35" s="286"/>
    </row>
    <row r="36" spans="2:15" x14ac:dyDescent="0.35">
      <c r="B36" s="280"/>
      <c r="C36" s="37">
        <v>2020</v>
      </c>
      <c r="D36" s="284"/>
      <c r="E36" s="285"/>
      <c r="F36" s="285"/>
      <c r="G36" s="285"/>
      <c r="H36" s="285"/>
      <c r="I36" s="285"/>
      <c r="J36" s="285"/>
      <c r="K36" s="285"/>
      <c r="L36" s="285"/>
      <c r="M36" s="285"/>
      <c r="N36" s="285"/>
      <c r="O36" s="286"/>
    </row>
    <row r="37" spans="2:15" x14ac:dyDescent="0.35">
      <c r="B37" s="280"/>
      <c r="C37" s="37">
        <v>2021</v>
      </c>
      <c r="D37" s="284"/>
      <c r="E37" s="285"/>
      <c r="F37" s="285"/>
      <c r="G37" s="285"/>
      <c r="H37" s="285"/>
      <c r="I37" s="285"/>
      <c r="J37" s="285"/>
      <c r="K37" s="285"/>
      <c r="L37" s="285"/>
      <c r="M37" s="285"/>
      <c r="N37" s="285"/>
      <c r="O37" s="286"/>
    </row>
    <row r="38" spans="2:15" x14ac:dyDescent="0.35">
      <c r="B38" s="280"/>
      <c r="C38" s="37">
        <v>2022</v>
      </c>
      <c r="D38" s="284"/>
      <c r="E38" s="285"/>
      <c r="F38" s="285"/>
      <c r="G38" s="285"/>
      <c r="H38" s="285"/>
      <c r="I38" s="285"/>
      <c r="J38" s="285"/>
      <c r="K38" s="285"/>
      <c r="L38" s="285"/>
      <c r="M38" s="285"/>
      <c r="N38" s="285"/>
      <c r="O38" s="286"/>
    </row>
    <row r="39" spans="2:15" x14ac:dyDescent="0.35">
      <c r="B39" s="280"/>
      <c r="C39" s="37" t="s">
        <v>400</v>
      </c>
      <c r="D39" s="287"/>
      <c r="E39" s="288"/>
      <c r="F39" s="288"/>
      <c r="G39" s="288"/>
      <c r="H39" s="288"/>
      <c r="I39" s="288"/>
      <c r="J39" s="288"/>
      <c r="K39" s="288"/>
      <c r="L39" s="288"/>
      <c r="M39" s="288"/>
      <c r="N39" s="288"/>
      <c r="O39" s="289"/>
    </row>
    <row r="40" spans="2:15" ht="15" customHeight="1" x14ac:dyDescent="0.35">
      <c r="B40" s="280" t="s">
        <v>406</v>
      </c>
      <c r="C40" s="37" t="s">
        <v>398</v>
      </c>
      <c r="D40" s="290" t="s">
        <v>51</v>
      </c>
      <c r="E40" s="290" t="s">
        <v>51</v>
      </c>
      <c r="F40" s="293" t="s">
        <v>806</v>
      </c>
      <c r="G40" s="290" t="s">
        <v>807</v>
      </c>
      <c r="H40" s="290" t="s">
        <v>51</v>
      </c>
      <c r="I40" s="296" t="s">
        <v>808</v>
      </c>
      <c r="J40" s="290" t="s">
        <v>514</v>
      </c>
      <c r="K40" s="290" t="s">
        <v>51</v>
      </c>
      <c r="L40" s="290" t="s">
        <v>786</v>
      </c>
      <c r="M40" s="290" t="s">
        <v>810</v>
      </c>
      <c r="N40" s="290" t="s">
        <v>811</v>
      </c>
      <c r="O40" s="299" t="s">
        <v>818</v>
      </c>
    </row>
    <row r="41" spans="2:15" x14ac:dyDescent="0.35">
      <c r="B41" s="280"/>
      <c r="C41" s="37" t="s">
        <v>399</v>
      </c>
      <c r="D41" s="291"/>
      <c r="E41" s="291"/>
      <c r="F41" s="294"/>
      <c r="G41" s="291"/>
      <c r="H41" s="291"/>
      <c r="I41" s="297" t="s">
        <v>777</v>
      </c>
      <c r="J41" s="291" t="s">
        <v>777</v>
      </c>
      <c r="K41" s="291"/>
      <c r="L41" s="291"/>
      <c r="M41" s="291"/>
      <c r="N41" s="291"/>
      <c r="O41" s="300"/>
    </row>
    <row r="42" spans="2:15" x14ac:dyDescent="0.35">
      <c r="B42" s="280"/>
      <c r="C42" s="37">
        <v>2020</v>
      </c>
      <c r="D42" s="291"/>
      <c r="E42" s="291"/>
      <c r="F42" s="294"/>
      <c r="G42" s="291"/>
      <c r="H42" s="291"/>
      <c r="I42" s="297" t="s">
        <v>777</v>
      </c>
      <c r="J42" s="291" t="s">
        <v>777</v>
      </c>
      <c r="K42" s="291"/>
      <c r="L42" s="291"/>
      <c r="M42" s="291"/>
      <c r="N42" s="291"/>
      <c r="O42" s="301"/>
    </row>
    <row r="43" spans="2:15" x14ac:dyDescent="0.35">
      <c r="B43" s="280"/>
      <c r="C43" s="37">
        <v>2021</v>
      </c>
      <c r="D43" s="291"/>
      <c r="E43" s="291"/>
      <c r="F43" s="294"/>
      <c r="G43" s="291"/>
      <c r="H43" s="291"/>
      <c r="I43" s="297" t="s">
        <v>777</v>
      </c>
      <c r="J43" s="291" t="s">
        <v>777</v>
      </c>
      <c r="K43" s="291"/>
      <c r="L43" s="291"/>
      <c r="M43" s="291"/>
      <c r="N43" s="291"/>
      <c r="O43" s="301"/>
    </row>
    <row r="44" spans="2:15" x14ac:dyDescent="0.35">
      <c r="B44" s="280"/>
      <c r="C44" s="37">
        <v>2022</v>
      </c>
      <c r="D44" s="291"/>
      <c r="E44" s="291"/>
      <c r="F44" s="294"/>
      <c r="G44" s="291"/>
      <c r="H44" s="291"/>
      <c r="I44" s="297" t="s">
        <v>777</v>
      </c>
      <c r="J44" s="291" t="s">
        <v>777</v>
      </c>
      <c r="K44" s="291"/>
      <c r="L44" s="291"/>
      <c r="M44" s="291"/>
      <c r="N44" s="291"/>
      <c r="O44" s="301"/>
    </row>
    <row r="45" spans="2:15" x14ac:dyDescent="0.35">
      <c r="B45" s="280"/>
      <c r="C45" s="37" t="s">
        <v>400</v>
      </c>
      <c r="D45" s="292"/>
      <c r="E45" s="292"/>
      <c r="F45" s="295"/>
      <c r="G45" s="292"/>
      <c r="H45" s="292"/>
      <c r="I45" s="298" t="s">
        <v>777</v>
      </c>
      <c r="J45" s="292" t="s">
        <v>777</v>
      </c>
      <c r="K45" s="292"/>
      <c r="L45" s="292"/>
      <c r="M45" s="292"/>
      <c r="N45" s="292"/>
      <c r="O45" s="302"/>
    </row>
    <row r="46" spans="2:15" x14ac:dyDescent="0.35">
      <c r="B46" s="280" t="s">
        <v>407</v>
      </c>
      <c r="C46" s="37" t="s">
        <v>398</v>
      </c>
      <c r="D46" s="281" t="s">
        <v>816</v>
      </c>
      <c r="E46" s="282"/>
      <c r="F46" s="282"/>
      <c r="G46" s="282"/>
      <c r="H46" s="282"/>
      <c r="I46" s="282"/>
      <c r="J46" s="282"/>
      <c r="K46" s="282"/>
      <c r="L46" s="282"/>
      <c r="M46" s="282"/>
      <c r="N46" s="282"/>
      <c r="O46" s="283"/>
    </row>
    <row r="47" spans="2:15" x14ac:dyDescent="0.35">
      <c r="B47" s="280"/>
      <c r="C47" s="37" t="s">
        <v>399</v>
      </c>
      <c r="D47" s="284"/>
      <c r="E47" s="285"/>
      <c r="F47" s="285"/>
      <c r="G47" s="285"/>
      <c r="H47" s="285"/>
      <c r="I47" s="285"/>
      <c r="J47" s="285"/>
      <c r="K47" s="285"/>
      <c r="L47" s="285"/>
      <c r="M47" s="285"/>
      <c r="N47" s="285"/>
      <c r="O47" s="286"/>
    </row>
    <row r="48" spans="2:15" x14ac:dyDescent="0.35">
      <c r="B48" s="280"/>
      <c r="C48" s="37">
        <v>2020</v>
      </c>
      <c r="D48" s="284"/>
      <c r="E48" s="285"/>
      <c r="F48" s="285"/>
      <c r="G48" s="285"/>
      <c r="H48" s="285"/>
      <c r="I48" s="285"/>
      <c r="J48" s="285"/>
      <c r="K48" s="285"/>
      <c r="L48" s="285"/>
      <c r="M48" s="285"/>
      <c r="N48" s="285"/>
      <c r="O48" s="286"/>
    </row>
    <row r="49" spans="2:15" x14ac:dyDescent="0.35">
      <c r="B49" s="280"/>
      <c r="C49" s="37">
        <v>2021</v>
      </c>
      <c r="D49" s="284"/>
      <c r="E49" s="285"/>
      <c r="F49" s="285"/>
      <c r="G49" s="285"/>
      <c r="H49" s="285"/>
      <c r="I49" s="285"/>
      <c r="J49" s="285"/>
      <c r="K49" s="285"/>
      <c r="L49" s="285"/>
      <c r="M49" s="285"/>
      <c r="N49" s="285"/>
      <c r="O49" s="286"/>
    </row>
    <row r="50" spans="2:15" x14ac:dyDescent="0.35">
      <c r="B50" s="280"/>
      <c r="C50" s="37">
        <v>2022</v>
      </c>
      <c r="D50" s="284"/>
      <c r="E50" s="285"/>
      <c r="F50" s="285"/>
      <c r="G50" s="285"/>
      <c r="H50" s="285"/>
      <c r="I50" s="285"/>
      <c r="J50" s="285"/>
      <c r="K50" s="285"/>
      <c r="L50" s="285"/>
      <c r="M50" s="285"/>
      <c r="N50" s="285"/>
      <c r="O50" s="286"/>
    </row>
    <row r="51" spans="2:15" x14ac:dyDescent="0.35">
      <c r="B51" s="280"/>
      <c r="C51" s="37" t="s">
        <v>400</v>
      </c>
      <c r="D51" s="287"/>
      <c r="E51" s="288"/>
      <c r="F51" s="288"/>
      <c r="G51" s="288"/>
      <c r="H51" s="288"/>
      <c r="I51" s="288"/>
      <c r="J51" s="288"/>
      <c r="K51" s="288"/>
      <c r="L51" s="288"/>
      <c r="M51" s="288"/>
      <c r="N51" s="288"/>
      <c r="O51" s="289"/>
    </row>
  </sheetData>
  <mergeCells count="45">
    <mergeCell ref="D46:O51"/>
    <mergeCell ref="O22:O27"/>
    <mergeCell ref="O40:O45"/>
    <mergeCell ref="N28:N33"/>
    <mergeCell ref="O28:O33"/>
    <mergeCell ref="D34:O39"/>
    <mergeCell ref="D40:D45"/>
    <mergeCell ref="E40:E45"/>
    <mergeCell ref="F40:F45"/>
    <mergeCell ref="G40:G45"/>
    <mergeCell ref="H40:H45"/>
    <mergeCell ref="I40:I45"/>
    <mergeCell ref="J40:J45"/>
    <mergeCell ref="K40:K45"/>
    <mergeCell ref="L40:L45"/>
    <mergeCell ref="M40:M45"/>
    <mergeCell ref="N40:N45"/>
    <mergeCell ref="I28:I33"/>
    <mergeCell ref="J28:J33"/>
    <mergeCell ref="K28:K33"/>
    <mergeCell ref="L28:L33"/>
    <mergeCell ref="M28:M33"/>
    <mergeCell ref="D28:D33"/>
    <mergeCell ref="E28:E33"/>
    <mergeCell ref="F28:F33"/>
    <mergeCell ref="G28:G33"/>
    <mergeCell ref="H28:H33"/>
    <mergeCell ref="D10:O15"/>
    <mergeCell ref="D16:O21"/>
    <mergeCell ref="K22:K27"/>
    <mergeCell ref="L22:L27"/>
    <mergeCell ref="M22:M27"/>
    <mergeCell ref="N22:N27"/>
    <mergeCell ref="F22:F27"/>
    <mergeCell ref="G22:G27"/>
    <mergeCell ref="H22:H27"/>
    <mergeCell ref="I22:I27"/>
    <mergeCell ref="J22:J27"/>
    <mergeCell ref="B46:B51"/>
    <mergeCell ref="B10:B15"/>
    <mergeCell ref="B16:B21"/>
    <mergeCell ref="B22:B27"/>
    <mergeCell ref="B28:B33"/>
    <mergeCell ref="B34:B39"/>
    <mergeCell ref="B40:B4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80"/>
  <sheetViews>
    <sheetView topLeftCell="A16" workbookViewId="0">
      <selection activeCell="T42" sqref="S42:T42"/>
    </sheetView>
  </sheetViews>
  <sheetFormatPr defaultRowHeight="14.5" x14ac:dyDescent="0.35"/>
  <cols>
    <col min="1" max="1" width="9.1796875" style="40"/>
    <col min="2" max="2" width="17.54296875" customWidth="1"/>
    <col min="3" max="3" width="12.7265625" customWidth="1"/>
    <col min="6" max="6" width="11.54296875" customWidth="1"/>
    <col min="15" max="15" width="11.81640625" customWidth="1"/>
    <col min="16" max="33" width="9.1796875" style="40"/>
  </cols>
  <sheetData>
    <row r="1" spans="1:16" s="40" customFormat="1" ht="26" x14ac:dyDescent="0.6">
      <c r="A1" s="42" t="s">
        <v>125</v>
      </c>
    </row>
    <row r="2" spans="1:16" s="40" customFormat="1" x14ac:dyDescent="0.35">
      <c r="A2" s="40" t="s">
        <v>0</v>
      </c>
      <c r="B2" s="43" t="s">
        <v>73</v>
      </c>
      <c r="C2" s="40" t="s">
        <v>409</v>
      </c>
    </row>
    <row r="3" spans="1:16" s="40" customFormat="1" x14ac:dyDescent="0.35">
      <c r="A3" s="44" t="s">
        <v>76</v>
      </c>
      <c r="B3" s="43">
        <v>22</v>
      </c>
      <c r="C3" s="40" t="s">
        <v>408</v>
      </c>
    </row>
    <row r="4" spans="1:16" s="40" customFormat="1" x14ac:dyDescent="0.35"/>
    <row r="5" spans="1:16" s="40" customFormat="1" x14ac:dyDescent="0.35"/>
    <row r="6" spans="1:16" s="40" customFormat="1" x14ac:dyDescent="0.35"/>
    <row r="7" spans="1:16" ht="68" x14ac:dyDescent="0.35">
      <c r="A7" s="46"/>
      <c r="B7" s="36" t="s">
        <v>385</v>
      </c>
      <c r="C7" s="36" t="s">
        <v>386</v>
      </c>
      <c r="D7" s="36" t="s">
        <v>387</v>
      </c>
      <c r="E7" s="36" t="s">
        <v>388</v>
      </c>
      <c r="F7" s="36" t="s">
        <v>417</v>
      </c>
      <c r="G7" s="36" t="s">
        <v>390</v>
      </c>
      <c r="H7" s="36" t="s">
        <v>391</v>
      </c>
      <c r="I7" s="36" t="s">
        <v>392</v>
      </c>
      <c r="J7" s="36" t="s">
        <v>393</v>
      </c>
      <c r="K7" s="36" t="s">
        <v>416</v>
      </c>
      <c r="L7" s="36" t="s">
        <v>395</v>
      </c>
      <c r="M7" s="36" t="s">
        <v>396</v>
      </c>
      <c r="N7" s="36" t="s">
        <v>397</v>
      </c>
      <c r="O7" s="36" t="s">
        <v>113</v>
      </c>
      <c r="P7" s="46"/>
    </row>
    <row r="8" spans="1:16" ht="15" customHeight="1" x14ac:dyDescent="0.35">
      <c r="B8" s="280" t="s">
        <v>410</v>
      </c>
      <c r="C8" s="37" t="s">
        <v>398</v>
      </c>
      <c r="D8" s="59" t="s">
        <v>777</v>
      </c>
      <c r="E8" s="59" t="s">
        <v>777</v>
      </c>
      <c r="F8" s="296" t="s">
        <v>806</v>
      </c>
      <c r="G8" s="290" t="s">
        <v>51</v>
      </c>
      <c r="H8" s="290" t="s">
        <v>51</v>
      </c>
      <c r="I8" s="290" t="s">
        <v>51</v>
      </c>
      <c r="J8" s="290" t="s">
        <v>819</v>
      </c>
      <c r="K8" s="290" t="s">
        <v>51</v>
      </c>
      <c r="L8" s="290" t="s">
        <v>786</v>
      </c>
      <c r="M8" s="290" t="s">
        <v>820</v>
      </c>
      <c r="N8" s="290" t="s">
        <v>821</v>
      </c>
      <c r="O8" s="296" t="s">
        <v>822</v>
      </c>
      <c r="P8" s="47"/>
    </row>
    <row r="9" spans="1:16" x14ac:dyDescent="0.35">
      <c r="B9" s="280"/>
      <c r="C9" s="37" t="s">
        <v>399</v>
      </c>
      <c r="D9" s="59">
        <v>10</v>
      </c>
      <c r="E9" s="62">
        <f>128335/D9</f>
        <v>12833.5</v>
      </c>
      <c r="F9" s="297"/>
      <c r="G9" s="291"/>
      <c r="H9" s="291"/>
      <c r="I9" s="291"/>
      <c r="J9" s="291"/>
      <c r="K9" s="291"/>
      <c r="L9" s="291"/>
      <c r="M9" s="291"/>
      <c r="N9" s="291"/>
      <c r="O9" s="297"/>
      <c r="P9" s="47"/>
    </row>
    <row r="10" spans="1:16" x14ac:dyDescent="0.35">
      <c r="B10" s="280"/>
      <c r="C10" s="37">
        <v>2020</v>
      </c>
      <c r="D10" s="59">
        <v>10</v>
      </c>
      <c r="E10" s="62">
        <f>166000/D10</f>
        <v>16600</v>
      </c>
      <c r="F10" s="297"/>
      <c r="G10" s="291"/>
      <c r="H10" s="291"/>
      <c r="I10" s="291"/>
      <c r="J10" s="291"/>
      <c r="K10" s="291"/>
      <c r="L10" s="291"/>
      <c r="M10" s="291"/>
      <c r="N10" s="291"/>
      <c r="O10" s="297"/>
      <c r="P10" s="47"/>
    </row>
    <row r="11" spans="1:16" x14ac:dyDescent="0.35">
      <c r="B11" s="280"/>
      <c r="C11" s="37">
        <v>2021</v>
      </c>
      <c r="D11" s="59">
        <v>10</v>
      </c>
      <c r="E11" s="62">
        <f>130000/D11</f>
        <v>13000</v>
      </c>
      <c r="F11" s="297"/>
      <c r="G11" s="291"/>
      <c r="H11" s="291"/>
      <c r="I11" s="291"/>
      <c r="J11" s="291"/>
      <c r="K11" s="291"/>
      <c r="L11" s="291"/>
      <c r="M11" s="291"/>
      <c r="N11" s="291"/>
      <c r="O11" s="297"/>
      <c r="P11" s="47"/>
    </row>
    <row r="12" spans="1:16" x14ac:dyDescent="0.35">
      <c r="B12" s="280"/>
      <c r="C12" s="37">
        <v>2022</v>
      </c>
      <c r="D12" s="59">
        <v>5</v>
      </c>
      <c r="E12" s="62">
        <f>65000/D12</f>
        <v>13000</v>
      </c>
      <c r="F12" s="297"/>
      <c r="G12" s="291"/>
      <c r="H12" s="291"/>
      <c r="I12" s="291"/>
      <c r="J12" s="291"/>
      <c r="K12" s="291"/>
      <c r="L12" s="291"/>
      <c r="M12" s="291"/>
      <c r="N12" s="291"/>
      <c r="O12" s="297"/>
      <c r="P12" s="47"/>
    </row>
    <row r="13" spans="1:16" ht="22" x14ac:dyDescent="0.35">
      <c r="B13" s="280"/>
      <c r="C13" s="37" t="s">
        <v>400</v>
      </c>
      <c r="D13" s="59">
        <f>SUM(D10:D12)</f>
        <v>25</v>
      </c>
      <c r="E13" s="62">
        <f>((D10*E10)+(D11*E11)+(D12*E12))/D13</f>
        <v>14440</v>
      </c>
      <c r="F13" s="298"/>
      <c r="G13" s="292"/>
      <c r="H13" s="292"/>
      <c r="I13" s="292"/>
      <c r="J13" s="292"/>
      <c r="K13" s="292"/>
      <c r="L13" s="292"/>
      <c r="M13" s="292"/>
      <c r="N13" s="292"/>
      <c r="O13" s="298"/>
      <c r="P13" s="47"/>
    </row>
    <row r="14" spans="1:16" ht="15" customHeight="1" x14ac:dyDescent="0.35">
      <c r="B14" s="280" t="s">
        <v>411</v>
      </c>
      <c r="C14" s="37" t="s">
        <v>398</v>
      </c>
      <c r="D14" s="49" t="s">
        <v>777</v>
      </c>
      <c r="E14" s="50" t="s">
        <v>777</v>
      </c>
      <c r="F14" s="296" t="s">
        <v>806</v>
      </c>
      <c r="G14" s="290" t="s">
        <v>51</v>
      </c>
      <c r="H14" s="290" t="s">
        <v>51</v>
      </c>
      <c r="I14" s="290" t="s">
        <v>823</v>
      </c>
      <c r="J14" s="290" t="s">
        <v>824</v>
      </c>
      <c r="K14" s="290" t="s">
        <v>51</v>
      </c>
      <c r="L14" s="290" t="s">
        <v>786</v>
      </c>
      <c r="M14" s="290" t="s">
        <v>533</v>
      </c>
      <c r="N14" s="290" t="s">
        <v>811</v>
      </c>
      <c r="O14" s="290" t="s">
        <v>825</v>
      </c>
      <c r="P14" s="47"/>
    </row>
    <row r="15" spans="1:16" x14ac:dyDescent="0.35">
      <c r="B15" s="280"/>
      <c r="C15" s="37" t="s">
        <v>399</v>
      </c>
      <c r="D15" s="49">
        <v>0</v>
      </c>
      <c r="E15" s="50">
        <v>0</v>
      </c>
      <c r="F15" s="297"/>
      <c r="G15" s="291"/>
      <c r="H15" s="291"/>
      <c r="I15" s="291"/>
      <c r="J15" s="291"/>
      <c r="K15" s="291"/>
      <c r="L15" s="291"/>
      <c r="M15" s="291"/>
      <c r="N15" s="291"/>
      <c r="O15" s="291"/>
      <c r="P15" s="47"/>
    </row>
    <row r="16" spans="1:16" x14ac:dyDescent="0.35">
      <c r="B16" s="280"/>
      <c r="C16" s="37">
        <v>2020</v>
      </c>
      <c r="D16" s="49">
        <v>4</v>
      </c>
      <c r="E16" s="186">
        <v>28000</v>
      </c>
      <c r="F16" s="297"/>
      <c r="G16" s="291"/>
      <c r="H16" s="291"/>
      <c r="I16" s="291"/>
      <c r="J16" s="291"/>
      <c r="K16" s="291"/>
      <c r="L16" s="291"/>
      <c r="M16" s="291"/>
      <c r="N16" s="291"/>
      <c r="O16" s="291"/>
      <c r="P16" s="47"/>
    </row>
    <row r="17" spans="2:16" x14ac:dyDescent="0.35">
      <c r="B17" s="280"/>
      <c r="C17" s="37">
        <v>2021</v>
      </c>
      <c r="D17" s="49">
        <v>8</v>
      </c>
      <c r="E17" s="186">
        <v>28000</v>
      </c>
      <c r="F17" s="297"/>
      <c r="G17" s="291"/>
      <c r="H17" s="291"/>
      <c r="I17" s="291"/>
      <c r="J17" s="291"/>
      <c r="K17" s="291"/>
      <c r="L17" s="291"/>
      <c r="M17" s="291"/>
      <c r="N17" s="291"/>
      <c r="O17" s="291"/>
      <c r="P17" s="47"/>
    </row>
    <row r="18" spans="2:16" x14ac:dyDescent="0.35">
      <c r="B18" s="280"/>
      <c r="C18" s="37">
        <v>2022</v>
      </c>
      <c r="D18" s="49">
        <v>12</v>
      </c>
      <c r="E18" s="186">
        <v>28000</v>
      </c>
      <c r="F18" s="297"/>
      <c r="G18" s="291"/>
      <c r="H18" s="291"/>
      <c r="I18" s="291"/>
      <c r="J18" s="291"/>
      <c r="K18" s="291"/>
      <c r="L18" s="291"/>
      <c r="M18" s="291"/>
      <c r="N18" s="291"/>
      <c r="O18" s="291"/>
      <c r="P18" s="47"/>
    </row>
    <row r="19" spans="2:16" ht="22" x14ac:dyDescent="0.35">
      <c r="B19" s="280"/>
      <c r="C19" s="37" t="s">
        <v>400</v>
      </c>
      <c r="D19" s="49">
        <f>SUM(D16:D18)</f>
        <v>24</v>
      </c>
      <c r="E19" s="186">
        <v>28000</v>
      </c>
      <c r="F19" s="298"/>
      <c r="G19" s="292"/>
      <c r="H19" s="292"/>
      <c r="I19" s="292"/>
      <c r="J19" s="292"/>
      <c r="K19" s="292"/>
      <c r="L19" s="292"/>
      <c r="M19" s="292"/>
      <c r="N19" s="292"/>
      <c r="O19" s="292"/>
      <c r="P19" s="47"/>
    </row>
    <row r="20" spans="2:16" x14ac:dyDescent="0.35">
      <c r="B20" s="280" t="s">
        <v>412</v>
      </c>
      <c r="C20" s="37" t="s">
        <v>398</v>
      </c>
      <c r="D20" s="281" t="s">
        <v>827</v>
      </c>
      <c r="E20" s="282"/>
      <c r="F20" s="282"/>
      <c r="G20" s="282"/>
      <c r="H20" s="282"/>
      <c r="I20" s="282"/>
      <c r="J20" s="282"/>
      <c r="K20" s="282"/>
      <c r="L20" s="282"/>
      <c r="M20" s="282"/>
      <c r="N20" s="282"/>
      <c r="O20" s="283"/>
      <c r="P20" s="47"/>
    </row>
    <row r="21" spans="2:16" x14ac:dyDescent="0.35">
      <c r="B21" s="280"/>
      <c r="C21" s="37" t="s">
        <v>399</v>
      </c>
      <c r="D21" s="284"/>
      <c r="E21" s="285"/>
      <c r="F21" s="285"/>
      <c r="G21" s="285"/>
      <c r="H21" s="285"/>
      <c r="I21" s="285"/>
      <c r="J21" s="285"/>
      <c r="K21" s="285"/>
      <c r="L21" s="285"/>
      <c r="M21" s="285"/>
      <c r="N21" s="285"/>
      <c r="O21" s="286"/>
      <c r="P21" s="47"/>
    </row>
    <row r="22" spans="2:16" x14ac:dyDescent="0.35">
      <c r="B22" s="280"/>
      <c r="C22" s="37">
        <v>2020</v>
      </c>
      <c r="D22" s="284"/>
      <c r="E22" s="285"/>
      <c r="F22" s="285"/>
      <c r="G22" s="285"/>
      <c r="H22" s="285"/>
      <c r="I22" s="285"/>
      <c r="J22" s="285"/>
      <c r="K22" s="285"/>
      <c r="L22" s="285"/>
      <c r="M22" s="285"/>
      <c r="N22" s="285"/>
      <c r="O22" s="286"/>
      <c r="P22" s="47"/>
    </row>
    <row r="23" spans="2:16" x14ac:dyDescent="0.35">
      <c r="B23" s="280"/>
      <c r="C23" s="37">
        <v>2021</v>
      </c>
      <c r="D23" s="284"/>
      <c r="E23" s="285"/>
      <c r="F23" s="285"/>
      <c r="G23" s="285"/>
      <c r="H23" s="285"/>
      <c r="I23" s="285"/>
      <c r="J23" s="285"/>
      <c r="K23" s="285"/>
      <c r="L23" s="285"/>
      <c r="M23" s="285"/>
      <c r="N23" s="285"/>
      <c r="O23" s="286"/>
      <c r="P23" s="47"/>
    </row>
    <row r="24" spans="2:16" x14ac:dyDescent="0.35">
      <c r="B24" s="280"/>
      <c r="C24" s="37">
        <v>2022</v>
      </c>
      <c r="D24" s="284"/>
      <c r="E24" s="285"/>
      <c r="F24" s="285"/>
      <c r="G24" s="285"/>
      <c r="H24" s="285"/>
      <c r="I24" s="285"/>
      <c r="J24" s="285"/>
      <c r="K24" s="285"/>
      <c r="L24" s="285"/>
      <c r="M24" s="285"/>
      <c r="N24" s="285"/>
      <c r="O24" s="286"/>
      <c r="P24" s="47"/>
    </row>
    <row r="25" spans="2:16" ht="22" x14ac:dyDescent="0.35">
      <c r="B25" s="280"/>
      <c r="C25" s="37" t="s">
        <v>400</v>
      </c>
      <c r="D25" s="287"/>
      <c r="E25" s="288"/>
      <c r="F25" s="288"/>
      <c r="G25" s="288"/>
      <c r="H25" s="288"/>
      <c r="I25" s="288"/>
      <c r="J25" s="288"/>
      <c r="K25" s="288"/>
      <c r="L25" s="288"/>
      <c r="M25" s="288"/>
      <c r="N25" s="288"/>
      <c r="O25" s="289"/>
      <c r="P25" s="47"/>
    </row>
    <row r="26" spans="2:16" x14ac:dyDescent="0.35">
      <c r="B26" s="280" t="s">
        <v>413</v>
      </c>
      <c r="C26" s="37" t="s">
        <v>398</v>
      </c>
      <c r="D26" s="281" t="s">
        <v>826</v>
      </c>
      <c r="E26" s="282"/>
      <c r="F26" s="282"/>
      <c r="G26" s="282"/>
      <c r="H26" s="282"/>
      <c r="I26" s="282"/>
      <c r="J26" s="282"/>
      <c r="K26" s="282"/>
      <c r="L26" s="282"/>
      <c r="M26" s="282"/>
      <c r="N26" s="282"/>
      <c r="O26" s="283"/>
    </row>
    <row r="27" spans="2:16" x14ac:dyDescent="0.35">
      <c r="B27" s="280"/>
      <c r="C27" s="37" t="s">
        <v>399</v>
      </c>
      <c r="D27" s="284"/>
      <c r="E27" s="285"/>
      <c r="F27" s="285"/>
      <c r="G27" s="285"/>
      <c r="H27" s="285"/>
      <c r="I27" s="285"/>
      <c r="J27" s="285"/>
      <c r="K27" s="285"/>
      <c r="L27" s="285"/>
      <c r="M27" s="285"/>
      <c r="N27" s="285"/>
      <c r="O27" s="286"/>
    </row>
    <row r="28" spans="2:16" x14ac:dyDescent="0.35">
      <c r="B28" s="280"/>
      <c r="C28" s="37">
        <v>2020</v>
      </c>
      <c r="D28" s="284"/>
      <c r="E28" s="285"/>
      <c r="F28" s="285"/>
      <c r="G28" s="285"/>
      <c r="H28" s="285"/>
      <c r="I28" s="285"/>
      <c r="J28" s="285"/>
      <c r="K28" s="285"/>
      <c r="L28" s="285"/>
      <c r="M28" s="285"/>
      <c r="N28" s="285"/>
      <c r="O28" s="286"/>
    </row>
    <row r="29" spans="2:16" x14ac:dyDescent="0.35">
      <c r="B29" s="280"/>
      <c r="C29" s="37">
        <v>2021</v>
      </c>
      <c r="D29" s="284"/>
      <c r="E29" s="285"/>
      <c r="F29" s="285"/>
      <c r="G29" s="285"/>
      <c r="H29" s="285"/>
      <c r="I29" s="285"/>
      <c r="J29" s="285"/>
      <c r="K29" s="285"/>
      <c r="L29" s="285"/>
      <c r="M29" s="285"/>
      <c r="N29" s="285"/>
      <c r="O29" s="286"/>
    </row>
    <row r="30" spans="2:16" x14ac:dyDescent="0.35">
      <c r="B30" s="280"/>
      <c r="C30" s="37">
        <v>2022</v>
      </c>
      <c r="D30" s="284"/>
      <c r="E30" s="285"/>
      <c r="F30" s="285"/>
      <c r="G30" s="285"/>
      <c r="H30" s="285"/>
      <c r="I30" s="285"/>
      <c r="J30" s="285"/>
      <c r="K30" s="285"/>
      <c r="L30" s="285"/>
      <c r="M30" s="285"/>
      <c r="N30" s="285"/>
      <c r="O30" s="286"/>
    </row>
    <row r="31" spans="2:16" ht="22" x14ac:dyDescent="0.35">
      <c r="B31" s="280"/>
      <c r="C31" s="37" t="s">
        <v>400</v>
      </c>
      <c r="D31" s="287"/>
      <c r="E31" s="288"/>
      <c r="F31" s="288"/>
      <c r="G31" s="288"/>
      <c r="H31" s="288"/>
      <c r="I31" s="288"/>
      <c r="J31" s="288"/>
      <c r="K31" s="288"/>
      <c r="L31" s="288"/>
      <c r="M31" s="288"/>
      <c r="N31" s="288"/>
      <c r="O31" s="289"/>
    </row>
    <row r="32" spans="2:16" ht="15" customHeight="1" x14ac:dyDescent="0.35">
      <c r="B32" s="280" t="s">
        <v>414</v>
      </c>
      <c r="C32" s="37" t="s">
        <v>398</v>
      </c>
      <c r="D32" s="281" t="s">
        <v>877</v>
      </c>
      <c r="E32" s="282"/>
      <c r="F32" s="282"/>
      <c r="G32" s="282"/>
      <c r="H32" s="282"/>
      <c r="I32" s="282"/>
      <c r="J32" s="282"/>
      <c r="K32" s="282"/>
      <c r="L32" s="282"/>
      <c r="M32" s="282"/>
      <c r="N32" s="282"/>
      <c r="O32" s="283"/>
    </row>
    <row r="33" spans="2:15" x14ac:dyDescent="0.35">
      <c r="B33" s="280"/>
      <c r="C33" s="37" t="s">
        <v>399</v>
      </c>
      <c r="D33" s="284"/>
      <c r="E33" s="285"/>
      <c r="F33" s="285"/>
      <c r="G33" s="285"/>
      <c r="H33" s="285"/>
      <c r="I33" s="285"/>
      <c r="J33" s="285"/>
      <c r="K33" s="285"/>
      <c r="L33" s="285"/>
      <c r="M33" s="285"/>
      <c r="N33" s="285"/>
      <c r="O33" s="286"/>
    </row>
    <row r="34" spans="2:15" x14ac:dyDescent="0.35">
      <c r="B34" s="280"/>
      <c r="C34" s="37">
        <v>2020</v>
      </c>
      <c r="D34" s="284"/>
      <c r="E34" s="285"/>
      <c r="F34" s="285"/>
      <c r="G34" s="285"/>
      <c r="H34" s="285"/>
      <c r="I34" s="285"/>
      <c r="J34" s="285"/>
      <c r="K34" s="285"/>
      <c r="L34" s="285"/>
      <c r="M34" s="285"/>
      <c r="N34" s="285"/>
      <c r="O34" s="286"/>
    </row>
    <row r="35" spans="2:15" x14ac:dyDescent="0.35">
      <c r="B35" s="280"/>
      <c r="C35" s="37">
        <v>2021</v>
      </c>
      <c r="D35" s="284"/>
      <c r="E35" s="285"/>
      <c r="F35" s="285"/>
      <c r="G35" s="285"/>
      <c r="H35" s="285"/>
      <c r="I35" s="285"/>
      <c r="J35" s="285"/>
      <c r="K35" s="285"/>
      <c r="L35" s="285"/>
      <c r="M35" s="285"/>
      <c r="N35" s="285"/>
      <c r="O35" s="286"/>
    </row>
    <row r="36" spans="2:15" x14ac:dyDescent="0.35">
      <c r="B36" s="280"/>
      <c r="C36" s="37">
        <v>2022</v>
      </c>
      <c r="D36" s="284"/>
      <c r="E36" s="285"/>
      <c r="F36" s="285"/>
      <c r="G36" s="285"/>
      <c r="H36" s="285"/>
      <c r="I36" s="285"/>
      <c r="J36" s="285"/>
      <c r="K36" s="285"/>
      <c r="L36" s="285"/>
      <c r="M36" s="285"/>
      <c r="N36" s="285"/>
      <c r="O36" s="286"/>
    </row>
    <row r="37" spans="2:15" ht="22" x14ac:dyDescent="0.35">
      <c r="B37" s="280"/>
      <c r="C37" s="37" t="s">
        <v>400</v>
      </c>
      <c r="D37" s="287"/>
      <c r="E37" s="288"/>
      <c r="F37" s="288"/>
      <c r="G37" s="288"/>
      <c r="H37" s="288"/>
      <c r="I37" s="288"/>
      <c r="J37" s="288"/>
      <c r="K37" s="288"/>
      <c r="L37" s="288"/>
      <c r="M37" s="288"/>
      <c r="N37" s="288"/>
      <c r="O37" s="289"/>
    </row>
    <row r="38" spans="2:15" ht="15" customHeight="1" x14ac:dyDescent="0.35">
      <c r="B38" s="280" t="s">
        <v>415</v>
      </c>
      <c r="C38" s="37" t="s">
        <v>398</v>
      </c>
      <c r="D38" s="290" t="s">
        <v>51</v>
      </c>
      <c r="E38" s="290" t="s">
        <v>51</v>
      </c>
      <c r="F38" s="296" t="s">
        <v>806</v>
      </c>
      <c r="G38" s="290" t="s">
        <v>51</v>
      </c>
      <c r="H38" s="290" t="s">
        <v>51</v>
      </c>
      <c r="I38" s="290" t="s">
        <v>828</v>
      </c>
      <c r="J38" s="290" t="s">
        <v>819</v>
      </c>
      <c r="K38" s="290" t="s">
        <v>51</v>
      </c>
      <c r="L38" s="290" t="s">
        <v>786</v>
      </c>
      <c r="M38" s="290" t="s">
        <v>830</v>
      </c>
      <c r="N38" s="290" t="s">
        <v>829</v>
      </c>
      <c r="O38" s="299" t="s">
        <v>831</v>
      </c>
    </row>
    <row r="39" spans="2:15" x14ac:dyDescent="0.35">
      <c r="B39" s="280"/>
      <c r="C39" s="37" t="s">
        <v>399</v>
      </c>
      <c r="D39" s="291"/>
      <c r="E39" s="291"/>
      <c r="F39" s="297"/>
      <c r="G39" s="291"/>
      <c r="H39" s="291"/>
      <c r="I39" s="291"/>
      <c r="J39" s="291"/>
      <c r="K39" s="291"/>
      <c r="L39" s="291"/>
      <c r="M39" s="291"/>
      <c r="N39" s="291"/>
      <c r="O39" s="300"/>
    </row>
    <row r="40" spans="2:15" x14ac:dyDescent="0.35">
      <c r="B40" s="280"/>
      <c r="C40" s="37">
        <v>2020</v>
      </c>
      <c r="D40" s="291"/>
      <c r="E40" s="291"/>
      <c r="F40" s="297"/>
      <c r="G40" s="291"/>
      <c r="H40" s="291"/>
      <c r="I40" s="291"/>
      <c r="J40" s="291"/>
      <c r="K40" s="291"/>
      <c r="L40" s="291"/>
      <c r="M40" s="291"/>
      <c r="N40" s="291"/>
      <c r="O40" s="300"/>
    </row>
    <row r="41" spans="2:15" x14ac:dyDescent="0.35">
      <c r="B41" s="280"/>
      <c r="C41" s="37">
        <v>2021</v>
      </c>
      <c r="D41" s="291"/>
      <c r="E41" s="291"/>
      <c r="F41" s="297"/>
      <c r="G41" s="291"/>
      <c r="H41" s="291"/>
      <c r="I41" s="291"/>
      <c r="J41" s="291"/>
      <c r="K41" s="291"/>
      <c r="L41" s="291"/>
      <c r="M41" s="291"/>
      <c r="N41" s="291"/>
      <c r="O41" s="300"/>
    </row>
    <row r="42" spans="2:15" x14ac:dyDescent="0.35">
      <c r="B42" s="280"/>
      <c r="C42" s="37">
        <v>2022</v>
      </c>
      <c r="D42" s="291"/>
      <c r="E42" s="291"/>
      <c r="F42" s="297"/>
      <c r="G42" s="291"/>
      <c r="H42" s="291"/>
      <c r="I42" s="291"/>
      <c r="J42" s="291"/>
      <c r="K42" s="291"/>
      <c r="L42" s="291"/>
      <c r="M42" s="291"/>
      <c r="N42" s="291"/>
      <c r="O42" s="300"/>
    </row>
    <row r="43" spans="2:15" ht="22" x14ac:dyDescent="0.35">
      <c r="B43" s="280"/>
      <c r="C43" s="37" t="s">
        <v>400</v>
      </c>
      <c r="D43" s="292"/>
      <c r="E43" s="292"/>
      <c r="F43" s="298"/>
      <c r="G43" s="292"/>
      <c r="H43" s="292"/>
      <c r="I43" s="292"/>
      <c r="J43" s="292"/>
      <c r="K43" s="292"/>
      <c r="L43" s="292"/>
      <c r="M43" s="292"/>
      <c r="N43" s="292"/>
      <c r="O43" s="303"/>
    </row>
    <row r="44" spans="2:15" x14ac:dyDescent="0.35">
      <c r="B44" s="280" t="s">
        <v>407</v>
      </c>
      <c r="C44" s="37" t="s">
        <v>398</v>
      </c>
      <c r="D44" s="304" t="s">
        <v>832</v>
      </c>
      <c r="E44" s="304"/>
      <c r="F44" s="304"/>
      <c r="G44" s="304"/>
      <c r="H44" s="304"/>
      <c r="I44" s="304"/>
      <c r="J44" s="304"/>
      <c r="K44" s="304"/>
      <c r="L44" s="304"/>
      <c r="M44" s="304"/>
      <c r="N44" s="304"/>
      <c r="O44" s="305"/>
    </row>
    <row r="45" spans="2:15" x14ac:dyDescent="0.35">
      <c r="B45" s="280"/>
      <c r="C45" s="37" t="s">
        <v>399</v>
      </c>
      <c r="D45" s="304"/>
      <c r="E45" s="304"/>
      <c r="F45" s="304"/>
      <c r="G45" s="304"/>
      <c r="H45" s="304"/>
      <c r="I45" s="304"/>
      <c r="J45" s="304"/>
      <c r="K45" s="304"/>
      <c r="L45" s="304"/>
      <c r="M45" s="304"/>
      <c r="N45" s="304"/>
      <c r="O45" s="305"/>
    </row>
    <row r="46" spans="2:15" x14ac:dyDescent="0.35">
      <c r="B46" s="280"/>
      <c r="C46" s="37">
        <v>2020</v>
      </c>
      <c r="D46" s="304"/>
      <c r="E46" s="304"/>
      <c r="F46" s="304"/>
      <c r="G46" s="304"/>
      <c r="H46" s="304"/>
      <c r="I46" s="304"/>
      <c r="J46" s="304"/>
      <c r="K46" s="304"/>
      <c r="L46" s="304"/>
      <c r="M46" s="304"/>
      <c r="N46" s="304"/>
      <c r="O46" s="305"/>
    </row>
    <row r="47" spans="2:15" x14ac:dyDescent="0.35">
      <c r="B47" s="280"/>
      <c r="C47" s="37">
        <v>2021</v>
      </c>
      <c r="D47" s="304"/>
      <c r="E47" s="304"/>
      <c r="F47" s="304"/>
      <c r="G47" s="304"/>
      <c r="H47" s="304"/>
      <c r="I47" s="304"/>
      <c r="J47" s="304"/>
      <c r="K47" s="304"/>
      <c r="L47" s="304"/>
      <c r="M47" s="304"/>
      <c r="N47" s="304"/>
      <c r="O47" s="305"/>
    </row>
    <row r="48" spans="2:15" x14ac:dyDescent="0.35">
      <c r="B48" s="280"/>
      <c r="C48" s="37">
        <v>2022</v>
      </c>
      <c r="D48" s="304"/>
      <c r="E48" s="304"/>
      <c r="F48" s="304"/>
      <c r="G48" s="304"/>
      <c r="H48" s="304"/>
      <c r="I48" s="304"/>
      <c r="J48" s="304"/>
      <c r="K48" s="304"/>
      <c r="L48" s="304"/>
      <c r="M48" s="304"/>
      <c r="N48" s="304"/>
      <c r="O48" s="305"/>
    </row>
    <row r="49" spans="2:15" ht="22" x14ac:dyDescent="0.35">
      <c r="B49" s="280"/>
      <c r="C49" s="37" t="s">
        <v>400</v>
      </c>
      <c r="D49" s="306"/>
      <c r="E49" s="306"/>
      <c r="F49" s="306"/>
      <c r="G49" s="306"/>
      <c r="H49" s="306"/>
      <c r="I49" s="306"/>
      <c r="J49" s="306"/>
      <c r="K49" s="306"/>
      <c r="L49" s="306"/>
      <c r="M49" s="306"/>
      <c r="N49" s="306"/>
      <c r="O49" s="307"/>
    </row>
    <row r="50" spans="2:15" s="40" customFormat="1" x14ac:dyDescent="0.35"/>
    <row r="51" spans="2:15" s="40" customFormat="1" x14ac:dyDescent="0.35"/>
    <row r="52" spans="2:15" s="40" customFormat="1" x14ac:dyDescent="0.35"/>
    <row r="53" spans="2:15" s="40" customFormat="1" x14ac:dyDescent="0.35"/>
    <row r="54" spans="2:15" s="40" customFormat="1" x14ac:dyDescent="0.35"/>
    <row r="55" spans="2:15" s="40" customFormat="1" x14ac:dyDescent="0.35"/>
    <row r="56" spans="2:15" s="40" customFormat="1" x14ac:dyDescent="0.35"/>
    <row r="57" spans="2:15" s="40" customFormat="1" x14ac:dyDescent="0.35"/>
    <row r="58" spans="2:15" s="40" customFormat="1" x14ac:dyDescent="0.35"/>
    <row r="59" spans="2:15" s="40" customFormat="1" x14ac:dyDescent="0.35"/>
    <row r="60" spans="2:15" s="40" customFormat="1" x14ac:dyDescent="0.35"/>
    <row r="61" spans="2:15" s="40" customFormat="1" x14ac:dyDescent="0.35"/>
    <row r="62" spans="2:15" s="40" customFormat="1" x14ac:dyDescent="0.35"/>
    <row r="63" spans="2:15" s="40" customFormat="1" x14ac:dyDescent="0.35"/>
    <row r="64" spans="2:15" s="40" customFormat="1" x14ac:dyDescent="0.35"/>
    <row r="65" s="40" customFormat="1" x14ac:dyDescent="0.35"/>
    <row r="66" s="40" customFormat="1" x14ac:dyDescent="0.35"/>
    <row r="67" s="40" customFormat="1" x14ac:dyDescent="0.35"/>
    <row r="68" s="40" customFormat="1" x14ac:dyDescent="0.35"/>
    <row r="69" s="40" customFormat="1" x14ac:dyDescent="0.35"/>
    <row r="70" s="40" customFormat="1" x14ac:dyDescent="0.35"/>
    <row r="71" s="40" customFormat="1" x14ac:dyDescent="0.35"/>
    <row r="72" s="40" customFormat="1" x14ac:dyDescent="0.35"/>
    <row r="73" s="40" customFormat="1" x14ac:dyDescent="0.35"/>
    <row r="74" s="40" customFormat="1" x14ac:dyDescent="0.35"/>
    <row r="75" s="40" customFormat="1" x14ac:dyDescent="0.35"/>
    <row r="76" s="40" customFormat="1" x14ac:dyDescent="0.35"/>
    <row r="77" s="40" customFormat="1" x14ac:dyDescent="0.35"/>
    <row r="78" s="40" customFormat="1" x14ac:dyDescent="0.35"/>
    <row r="79" s="40" customFormat="1" x14ac:dyDescent="0.35"/>
    <row r="80" s="40" customFormat="1" x14ac:dyDescent="0.35"/>
  </sheetData>
  <mergeCells count="43">
    <mergeCell ref="L38:L43"/>
    <mergeCell ref="G38:G43"/>
    <mergeCell ref="H38:H43"/>
    <mergeCell ref="I38:I43"/>
    <mergeCell ref="J38:J43"/>
    <mergeCell ref="E38:E43"/>
    <mergeCell ref="M14:M19"/>
    <mergeCell ref="N14:N19"/>
    <mergeCell ref="O14:O19"/>
    <mergeCell ref="H8:H13"/>
    <mergeCell ref="B44:B49"/>
    <mergeCell ref="B26:B31"/>
    <mergeCell ref="B32:B37"/>
    <mergeCell ref="B38:B43"/>
    <mergeCell ref="D38:D43"/>
    <mergeCell ref="D26:O31"/>
    <mergeCell ref="K38:K43"/>
    <mergeCell ref="M38:M43"/>
    <mergeCell ref="N38:N43"/>
    <mergeCell ref="O38:O43"/>
    <mergeCell ref="D44:O49"/>
    <mergeCell ref="F38:F43"/>
    <mergeCell ref="I14:I19"/>
    <mergeCell ref="H14:H19"/>
    <mergeCell ref="J14:J19"/>
    <mergeCell ref="K14:K19"/>
    <mergeCell ref="L14:L19"/>
    <mergeCell ref="I8:I13"/>
    <mergeCell ref="J8:J13"/>
    <mergeCell ref="D32:O37"/>
    <mergeCell ref="B8:B13"/>
    <mergeCell ref="B14:B19"/>
    <mergeCell ref="B20:B25"/>
    <mergeCell ref="F8:F13"/>
    <mergeCell ref="G8:G13"/>
    <mergeCell ref="F14:F19"/>
    <mergeCell ref="G14:G19"/>
    <mergeCell ref="K8:K13"/>
    <mergeCell ref="L8:L13"/>
    <mergeCell ref="M8:M13"/>
    <mergeCell ref="N8:N13"/>
    <mergeCell ref="D20:O25"/>
    <mergeCell ref="O8:O1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143"/>
  <sheetViews>
    <sheetView zoomScale="115" zoomScaleNormal="115" workbookViewId="0">
      <selection activeCell="L22" sqref="L22:L27"/>
    </sheetView>
  </sheetViews>
  <sheetFormatPr defaultRowHeight="14.5" x14ac:dyDescent="0.35"/>
  <cols>
    <col min="1" max="1" width="9.453125" style="40" customWidth="1"/>
    <col min="2" max="2" width="17.54296875" customWidth="1"/>
    <col min="3" max="3" width="12.7265625" customWidth="1"/>
    <col min="4" max="4" width="9.54296875" bestFit="1" customWidth="1"/>
    <col min="5" max="5" width="10" bestFit="1" customWidth="1"/>
    <col min="16" max="16" width="1.81640625" style="40" customWidth="1"/>
    <col min="17" max="17" width="2.7265625" style="40" customWidth="1"/>
    <col min="18" max="18" width="14" style="40" customWidth="1"/>
    <col min="19" max="26" width="9.1796875" style="40"/>
  </cols>
  <sheetData>
    <row r="1" spans="1:16" s="40" customFormat="1" ht="26" x14ac:dyDescent="0.6">
      <c r="A1" s="42" t="s">
        <v>125</v>
      </c>
    </row>
    <row r="2" spans="1:16" s="40" customFormat="1" x14ac:dyDescent="0.35">
      <c r="A2" s="43" t="s">
        <v>0</v>
      </c>
      <c r="B2" s="43" t="s">
        <v>74</v>
      </c>
      <c r="C2" s="40" t="s">
        <v>409</v>
      </c>
    </row>
    <row r="3" spans="1:16" s="40" customFormat="1" x14ac:dyDescent="0.35">
      <c r="A3" s="48" t="s">
        <v>76</v>
      </c>
      <c r="B3" s="43">
        <v>23</v>
      </c>
      <c r="C3" s="40" t="s">
        <v>75</v>
      </c>
    </row>
    <row r="4" spans="1:16" s="40" customFormat="1" x14ac:dyDescent="0.35"/>
    <row r="5" spans="1:16" s="40" customFormat="1" x14ac:dyDescent="0.35"/>
    <row r="6" spans="1:16" s="40" customFormat="1" x14ac:dyDescent="0.35"/>
    <row r="7" spans="1:16" s="40" customFormat="1" x14ac:dyDescent="0.35"/>
    <row r="8" spans="1:16" s="40" customFormat="1" x14ac:dyDescent="0.35"/>
    <row r="9" spans="1:16" ht="68" x14ac:dyDescent="0.35">
      <c r="A9" s="46"/>
      <c r="B9" s="36" t="s">
        <v>385</v>
      </c>
      <c r="C9" s="36" t="s">
        <v>386</v>
      </c>
      <c r="D9" s="36" t="s">
        <v>387</v>
      </c>
      <c r="E9" s="36" t="s">
        <v>388</v>
      </c>
      <c r="F9" s="36" t="s">
        <v>417</v>
      </c>
      <c r="G9" s="36" t="s">
        <v>390</v>
      </c>
      <c r="H9" s="36" t="s">
        <v>391</v>
      </c>
      <c r="I9" s="36" t="s">
        <v>392</v>
      </c>
      <c r="J9" s="36" t="s">
        <v>393</v>
      </c>
      <c r="K9" s="36" t="s">
        <v>416</v>
      </c>
      <c r="L9" s="36" t="s">
        <v>395</v>
      </c>
      <c r="M9" s="36" t="s">
        <v>396</v>
      </c>
      <c r="N9" s="36" t="s">
        <v>397</v>
      </c>
      <c r="O9" s="36" t="s">
        <v>113</v>
      </c>
      <c r="P9" s="46"/>
    </row>
    <row r="10" spans="1:16" x14ac:dyDescent="0.35">
      <c r="B10" s="280" t="s">
        <v>425</v>
      </c>
      <c r="C10" s="37" t="s">
        <v>398</v>
      </c>
      <c r="D10" s="281" t="s">
        <v>503</v>
      </c>
      <c r="E10" s="313"/>
      <c r="F10" s="313"/>
      <c r="G10" s="313"/>
      <c r="H10" s="313"/>
      <c r="I10" s="313"/>
      <c r="J10" s="313"/>
      <c r="K10" s="313"/>
      <c r="L10" s="313"/>
      <c r="M10" s="313"/>
      <c r="N10" s="313"/>
      <c r="O10" s="314"/>
      <c r="P10" s="47"/>
    </row>
    <row r="11" spans="1:16" x14ac:dyDescent="0.35">
      <c r="B11" s="280"/>
      <c r="C11" s="37" t="s">
        <v>399</v>
      </c>
      <c r="D11" s="315"/>
      <c r="E11" s="316"/>
      <c r="F11" s="316"/>
      <c r="G11" s="316"/>
      <c r="H11" s="316"/>
      <c r="I11" s="316"/>
      <c r="J11" s="316"/>
      <c r="K11" s="316"/>
      <c r="L11" s="316"/>
      <c r="M11" s="316"/>
      <c r="N11" s="316"/>
      <c r="O11" s="317"/>
      <c r="P11" s="47"/>
    </row>
    <row r="12" spans="1:16" x14ac:dyDescent="0.35">
      <c r="B12" s="280"/>
      <c r="C12" s="37">
        <v>2020</v>
      </c>
      <c r="D12" s="315"/>
      <c r="E12" s="316"/>
      <c r="F12" s="316"/>
      <c r="G12" s="316"/>
      <c r="H12" s="316"/>
      <c r="I12" s="316"/>
      <c r="J12" s="316"/>
      <c r="K12" s="316"/>
      <c r="L12" s="316"/>
      <c r="M12" s="316"/>
      <c r="N12" s="316"/>
      <c r="O12" s="317"/>
      <c r="P12" s="47"/>
    </row>
    <row r="13" spans="1:16" x14ac:dyDescent="0.35">
      <c r="B13" s="280"/>
      <c r="C13" s="37">
        <v>2021</v>
      </c>
      <c r="D13" s="315"/>
      <c r="E13" s="316"/>
      <c r="F13" s="316"/>
      <c r="G13" s="316"/>
      <c r="H13" s="316"/>
      <c r="I13" s="316"/>
      <c r="J13" s="316"/>
      <c r="K13" s="316"/>
      <c r="L13" s="316"/>
      <c r="M13" s="316"/>
      <c r="N13" s="316"/>
      <c r="O13" s="317"/>
      <c r="P13" s="47"/>
    </row>
    <row r="14" spans="1:16" x14ac:dyDescent="0.35">
      <c r="B14" s="280"/>
      <c r="C14" s="37">
        <v>2022</v>
      </c>
      <c r="D14" s="315"/>
      <c r="E14" s="316"/>
      <c r="F14" s="316"/>
      <c r="G14" s="316"/>
      <c r="H14" s="316"/>
      <c r="I14" s="316"/>
      <c r="J14" s="316"/>
      <c r="K14" s="316"/>
      <c r="L14" s="316"/>
      <c r="M14" s="316"/>
      <c r="N14" s="316"/>
      <c r="O14" s="317"/>
      <c r="P14" s="47"/>
    </row>
    <row r="15" spans="1:16" ht="22" x14ac:dyDescent="0.35">
      <c r="B15" s="280"/>
      <c r="C15" s="37" t="s">
        <v>400</v>
      </c>
      <c r="D15" s="318"/>
      <c r="E15" s="319"/>
      <c r="F15" s="319"/>
      <c r="G15" s="319"/>
      <c r="H15" s="319"/>
      <c r="I15" s="319"/>
      <c r="J15" s="319"/>
      <c r="K15" s="319"/>
      <c r="L15" s="319"/>
      <c r="M15" s="319"/>
      <c r="N15" s="319"/>
      <c r="O15" s="320"/>
      <c r="P15" s="47"/>
    </row>
    <row r="16" spans="1:16" x14ac:dyDescent="0.35">
      <c r="B16" s="280" t="s">
        <v>426</v>
      </c>
      <c r="C16" s="37" t="s">
        <v>398</v>
      </c>
      <c r="D16" s="281" t="s">
        <v>785</v>
      </c>
      <c r="E16" s="313"/>
      <c r="F16" s="313"/>
      <c r="G16" s="313"/>
      <c r="H16" s="313"/>
      <c r="I16" s="313"/>
      <c r="J16" s="313"/>
      <c r="K16" s="313"/>
      <c r="L16" s="313"/>
      <c r="M16" s="313"/>
      <c r="N16" s="313"/>
      <c r="O16" s="314"/>
      <c r="P16" s="47"/>
    </row>
    <row r="17" spans="2:16" x14ac:dyDescent="0.35">
      <c r="B17" s="280"/>
      <c r="C17" s="37" t="s">
        <v>399</v>
      </c>
      <c r="D17" s="315"/>
      <c r="E17" s="316"/>
      <c r="F17" s="316"/>
      <c r="G17" s="316"/>
      <c r="H17" s="316"/>
      <c r="I17" s="316"/>
      <c r="J17" s="316"/>
      <c r="K17" s="316"/>
      <c r="L17" s="316"/>
      <c r="M17" s="316"/>
      <c r="N17" s="316"/>
      <c r="O17" s="317"/>
      <c r="P17" s="47"/>
    </row>
    <row r="18" spans="2:16" x14ac:dyDescent="0.35">
      <c r="B18" s="280"/>
      <c r="C18" s="37">
        <v>2020</v>
      </c>
      <c r="D18" s="315"/>
      <c r="E18" s="316"/>
      <c r="F18" s="316"/>
      <c r="G18" s="316"/>
      <c r="H18" s="316"/>
      <c r="I18" s="316"/>
      <c r="J18" s="316"/>
      <c r="K18" s="316"/>
      <c r="L18" s="316"/>
      <c r="M18" s="316"/>
      <c r="N18" s="316"/>
      <c r="O18" s="317"/>
      <c r="P18" s="47"/>
    </row>
    <row r="19" spans="2:16" x14ac:dyDescent="0.35">
      <c r="B19" s="280"/>
      <c r="C19" s="37">
        <v>2021</v>
      </c>
      <c r="D19" s="315"/>
      <c r="E19" s="316"/>
      <c r="F19" s="316"/>
      <c r="G19" s="316"/>
      <c r="H19" s="316"/>
      <c r="I19" s="316"/>
      <c r="J19" s="316"/>
      <c r="K19" s="316"/>
      <c r="L19" s="316"/>
      <c r="M19" s="316"/>
      <c r="N19" s="316"/>
      <c r="O19" s="317"/>
      <c r="P19" s="47"/>
    </row>
    <row r="20" spans="2:16" x14ac:dyDescent="0.35">
      <c r="B20" s="280"/>
      <c r="C20" s="37">
        <v>2022</v>
      </c>
      <c r="D20" s="315"/>
      <c r="E20" s="316"/>
      <c r="F20" s="316"/>
      <c r="G20" s="316"/>
      <c r="H20" s="316"/>
      <c r="I20" s="316"/>
      <c r="J20" s="316"/>
      <c r="K20" s="316"/>
      <c r="L20" s="316"/>
      <c r="M20" s="316"/>
      <c r="N20" s="316"/>
      <c r="O20" s="317"/>
      <c r="P20" s="47"/>
    </row>
    <row r="21" spans="2:16" ht="22" x14ac:dyDescent="0.35">
      <c r="B21" s="280"/>
      <c r="C21" s="37" t="s">
        <v>400</v>
      </c>
      <c r="D21" s="318"/>
      <c r="E21" s="319"/>
      <c r="F21" s="319"/>
      <c r="G21" s="319"/>
      <c r="H21" s="319"/>
      <c r="I21" s="319"/>
      <c r="J21" s="319"/>
      <c r="K21" s="319"/>
      <c r="L21" s="319"/>
      <c r="M21" s="319"/>
      <c r="N21" s="319"/>
      <c r="O21" s="320"/>
      <c r="P21" s="47"/>
    </row>
    <row r="22" spans="2:16" ht="15" customHeight="1" x14ac:dyDescent="0.35">
      <c r="B22" s="280" t="s">
        <v>499</v>
      </c>
      <c r="C22" s="37" t="s">
        <v>398</v>
      </c>
      <c r="D22" s="68" t="s">
        <v>51</v>
      </c>
      <c r="E22" s="68" t="s">
        <v>51</v>
      </c>
      <c r="F22" s="290" t="s">
        <v>540</v>
      </c>
      <c r="G22" s="290" t="s">
        <v>51</v>
      </c>
      <c r="H22" s="290" t="s">
        <v>51</v>
      </c>
      <c r="I22" s="290" t="s">
        <v>51</v>
      </c>
      <c r="J22" s="290" t="s">
        <v>534</v>
      </c>
      <c r="K22" s="290" t="s">
        <v>51</v>
      </c>
      <c r="L22" s="310" t="s">
        <v>786</v>
      </c>
      <c r="M22" s="290" t="s">
        <v>532</v>
      </c>
      <c r="N22" s="290" t="s">
        <v>51</v>
      </c>
      <c r="O22" s="290" t="s">
        <v>550</v>
      </c>
      <c r="P22" s="47"/>
    </row>
    <row r="23" spans="2:16" x14ac:dyDescent="0.35">
      <c r="B23" s="280"/>
      <c r="C23" s="37" t="s">
        <v>399</v>
      </c>
      <c r="D23" s="68">
        <v>0</v>
      </c>
      <c r="E23" s="67">
        <v>0</v>
      </c>
      <c r="F23" s="308"/>
      <c r="G23" s="308"/>
      <c r="H23" s="308"/>
      <c r="I23" s="308"/>
      <c r="J23" s="308"/>
      <c r="K23" s="308"/>
      <c r="L23" s="311"/>
      <c r="M23" s="308"/>
      <c r="N23" s="308"/>
      <c r="O23" s="308"/>
      <c r="P23" s="47"/>
    </row>
    <row r="24" spans="2:16" x14ac:dyDescent="0.35">
      <c r="B24" s="280"/>
      <c r="C24" s="37">
        <v>2020</v>
      </c>
      <c r="D24" s="68">
        <v>0</v>
      </c>
      <c r="E24" s="67">
        <f>0</f>
        <v>0</v>
      </c>
      <c r="F24" s="308"/>
      <c r="G24" s="308"/>
      <c r="H24" s="308"/>
      <c r="I24" s="308"/>
      <c r="J24" s="308"/>
      <c r="K24" s="308"/>
      <c r="L24" s="311"/>
      <c r="M24" s="308"/>
      <c r="N24" s="308"/>
      <c r="O24" s="308"/>
      <c r="P24" s="47"/>
    </row>
    <row r="25" spans="2:16" x14ac:dyDescent="0.35">
      <c r="B25" s="280"/>
      <c r="C25" s="37">
        <v>2021</v>
      </c>
      <c r="D25" s="68">
        <v>8</v>
      </c>
      <c r="E25" s="67">
        <f>5800000/D25</f>
        <v>725000</v>
      </c>
      <c r="F25" s="308"/>
      <c r="G25" s="308"/>
      <c r="H25" s="308"/>
      <c r="I25" s="308"/>
      <c r="J25" s="308"/>
      <c r="K25" s="308"/>
      <c r="L25" s="311"/>
      <c r="M25" s="308"/>
      <c r="N25" s="308"/>
      <c r="O25" s="308"/>
      <c r="P25" s="47"/>
    </row>
    <row r="26" spans="2:16" x14ac:dyDescent="0.35">
      <c r="B26" s="280"/>
      <c r="C26" s="37">
        <v>2022</v>
      </c>
      <c r="D26" s="68">
        <v>8</v>
      </c>
      <c r="E26" s="67">
        <f>5800000/D26</f>
        <v>725000</v>
      </c>
      <c r="F26" s="308"/>
      <c r="G26" s="308"/>
      <c r="H26" s="308"/>
      <c r="I26" s="308"/>
      <c r="J26" s="308"/>
      <c r="K26" s="308"/>
      <c r="L26" s="311"/>
      <c r="M26" s="308"/>
      <c r="N26" s="308"/>
      <c r="O26" s="308"/>
      <c r="P26" s="47"/>
    </row>
    <row r="27" spans="2:16" ht="22" x14ac:dyDescent="0.35">
      <c r="B27" s="280"/>
      <c r="C27" s="37" t="s">
        <v>400</v>
      </c>
      <c r="D27" s="69">
        <f>SUM(D24:D26)</f>
        <v>16</v>
      </c>
      <c r="E27" s="62">
        <f>((D24*E24)+(D25*E25)+(D26*E26))/D27</f>
        <v>725000</v>
      </c>
      <c r="F27" s="309"/>
      <c r="G27" s="309"/>
      <c r="H27" s="309"/>
      <c r="I27" s="309"/>
      <c r="J27" s="309"/>
      <c r="K27" s="309"/>
      <c r="L27" s="312"/>
      <c r="M27" s="309"/>
      <c r="N27" s="309"/>
      <c r="O27" s="309"/>
      <c r="P27" s="47"/>
    </row>
    <row r="28" spans="2:16" ht="15" customHeight="1" x14ac:dyDescent="0.35">
      <c r="B28" s="280" t="s">
        <v>498</v>
      </c>
      <c r="C28" s="37" t="s">
        <v>398</v>
      </c>
      <c r="D28" s="68" t="s">
        <v>51</v>
      </c>
      <c r="E28" s="68" t="s">
        <v>51</v>
      </c>
      <c r="F28" s="290" t="s">
        <v>540</v>
      </c>
      <c r="G28" s="290" t="s">
        <v>51</v>
      </c>
      <c r="H28" s="290" t="s">
        <v>51</v>
      </c>
      <c r="I28" s="290" t="s">
        <v>51</v>
      </c>
      <c r="J28" s="290" t="s">
        <v>534</v>
      </c>
      <c r="K28" s="290" t="s">
        <v>51</v>
      </c>
      <c r="L28" s="310" t="s">
        <v>786</v>
      </c>
      <c r="M28" s="290" t="s">
        <v>532</v>
      </c>
      <c r="N28" s="290" t="s">
        <v>51</v>
      </c>
      <c r="O28" s="290" t="s">
        <v>550</v>
      </c>
      <c r="P28" s="47"/>
    </row>
    <row r="29" spans="2:16" x14ac:dyDescent="0.35">
      <c r="B29" s="280"/>
      <c r="C29" s="37" t="s">
        <v>399</v>
      </c>
      <c r="D29" s="68">
        <v>0</v>
      </c>
      <c r="E29" s="67">
        <f>0</f>
        <v>0</v>
      </c>
      <c r="F29" s="308"/>
      <c r="G29" s="308"/>
      <c r="H29" s="308"/>
      <c r="I29" s="308"/>
      <c r="J29" s="308"/>
      <c r="K29" s="308"/>
      <c r="L29" s="311"/>
      <c r="M29" s="308"/>
      <c r="N29" s="308"/>
      <c r="O29" s="308"/>
      <c r="P29" s="47"/>
    </row>
    <row r="30" spans="2:16" x14ac:dyDescent="0.35">
      <c r="B30" s="280"/>
      <c r="C30" s="37">
        <v>2020</v>
      </c>
      <c r="D30" s="68">
        <v>38</v>
      </c>
      <c r="E30" s="67">
        <f>7875000/D30</f>
        <v>207236.84210526315</v>
      </c>
      <c r="F30" s="308"/>
      <c r="G30" s="308"/>
      <c r="H30" s="308"/>
      <c r="I30" s="308"/>
      <c r="J30" s="308"/>
      <c r="K30" s="308"/>
      <c r="L30" s="311"/>
      <c r="M30" s="308"/>
      <c r="N30" s="308"/>
      <c r="O30" s="308"/>
      <c r="P30" s="47"/>
    </row>
    <row r="31" spans="2:16" x14ac:dyDescent="0.35">
      <c r="B31" s="280"/>
      <c r="C31" s="37">
        <v>2021</v>
      </c>
      <c r="D31" s="68">
        <v>52</v>
      </c>
      <c r="E31" s="67">
        <f>11383000/D31</f>
        <v>218903.84615384616</v>
      </c>
      <c r="F31" s="308"/>
      <c r="G31" s="308"/>
      <c r="H31" s="308"/>
      <c r="I31" s="308"/>
      <c r="J31" s="308"/>
      <c r="K31" s="308"/>
      <c r="L31" s="311"/>
      <c r="M31" s="308"/>
      <c r="N31" s="308"/>
      <c r="O31" s="308"/>
      <c r="P31" s="47"/>
    </row>
    <row r="32" spans="2:16" x14ac:dyDescent="0.35">
      <c r="B32" s="280"/>
      <c r="C32" s="37">
        <v>2022</v>
      </c>
      <c r="D32" s="68">
        <v>41</v>
      </c>
      <c r="E32" s="67">
        <f>11580000/D32</f>
        <v>282439.02439024393</v>
      </c>
      <c r="F32" s="308"/>
      <c r="G32" s="308"/>
      <c r="H32" s="308"/>
      <c r="I32" s="308"/>
      <c r="J32" s="308"/>
      <c r="K32" s="308"/>
      <c r="L32" s="311"/>
      <c r="M32" s="308"/>
      <c r="N32" s="308"/>
      <c r="O32" s="308"/>
      <c r="P32" s="47"/>
    </row>
    <row r="33" spans="2:16" ht="22" x14ac:dyDescent="0.35">
      <c r="B33" s="280"/>
      <c r="C33" s="37" t="s">
        <v>400</v>
      </c>
      <c r="D33" s="69">
        <f>SUM(D30:D32)</f>
        <v>131</v>
      </c>
      <c r="E33" s="70">
        <f>((D30*E30)+(D31*E31)+(D32*E32))/D33</f>
        <v>235404.58015267176</v>
      </c>
      <c r="F33" s="309"/>
      <c r="G33" s="309"/>
      <c r="H33" s="309"/>
      <c r="I33" s="309"/>
      <c r="J33" s="309"/>
      <c r="K33" s="309"/>
      <c r="L33" s="312"/>
      <c r="M33" s="309"/>
      <c r="N33" s="309"/>
      <c r="O33" s="309"/>
      <c r="P33" s="47"/>
    </row>
    <row r="34" spans="2:16" x14ac:dyDescent="0.35">
      <c r="B34" s="280" t="s">
        <v>418</v>
      </c>
      <c r="C34" s="37" t="s">
        <v>398</v>
      </c>
      <c r="D34" s="281" t="s">
        <v>787</v>
      </c>
      <c r="E34" s="313"/>
      <c r="F34" s="313"/>
      <c r="G34" s="313"/>
      <c r="H34" s="313"/>
      <c r="I34" s="313"/>
      <c r="J34" s="313"/>
      <c r="K34" s="313"/>
      <c r="L34" s="313"/>
      <c r="M34" s="313"/>
      <c r="N34" s="313"/>
      <c r="O34" s="314"/>
    </row>
    <row r="35" spans="2:16" x14ac:dyDescent="0.35">
      <c r="B35" s="280"/>
      <c r="C35" s="37" t="s">
        <v>399</v>
      </c>
      <c r="D35" s="315"/>
      <c r="E35" s="316"/>
      <c r="F35" s="316"/>
      <c r="G35" s="316"/>
      <c r="H35" s="316"/>
      <c r="I35" s="316"/>
      <c r="J35" s="316"/>
      <c r="K35" s="316"/>
      <c r="L35" s="316"/>
      <c r="M35" s="316"/>
      <c r="N35" s="316"/>
      <c r="O35" s="317"/>
    </row>
    <row r="36" spans="2:16" x14ac:dyDescent="0.35">
      <c r="B36" s="280"/>
      <c r="C36" s="37">
        <v>2020</v>
      </c>
      <c r="D36" s="315"/>
      <c r="E36" s="316"/>
      <c r="F36" s="316"/>
      <c r="G36" s="316"/>
      <c r="H36" s="316"/>
      <c r="I36" s="316"/>
      <c r="J36" s="316"/>
      <c r="K36" s="316"/>
      <c r="L36" s="316"/>
      <c r="M36" s="316"/>
      <c r="N36" s="316"/>
      <c r="O36" s="317"/>
    </row>
    <row r="37" spans="2:16" x14ac:dyDescent="0.35">
      <c r="B37" s="280"/>
      <c r="C37" s="37">
        <v>2021</v>
      </c>
      <c r="D37" s="315"/>
      <c r="E37" s="316"/>
      <c r="F37" s="316"/>
      <c r="G37" s="316"/>
      <c r="H37" s="316"/>
      <c r="I37" s="316"/>
      <c r="J37" s="316"/>
      <c r="K37" s="316"/>
      <c r="L37" s="316"/>
      <c r="M37" s="316"/>
      <c r="N37" s="316"/>
      <c r="O37" s="317"/>
    </row>
    <row r="38" spans="2:16" x14ac:dyDescent="0.35">
      <c r="B38" s="280"/>
      <c r="C38" s="37">
        <v>2022</v>
      </c>
      <c r="D38" s="315"/>
      <c r="E38" s="316"/>
      <c r="F38" s="316"/>
      <c r="G38" s="316"/>
      <c r="H38" s="316"/>
      <c r="I38" s="316"/>
      <c r="J38" s="316"/>
      <c r="K38" s="316"/>
      <c r="L38" s="316"/>
      <c r="M38" s="316"/>
      <c r="N38" s="316"/>
      <c r="O38" s="317"/>
    </row>
    <row r="39" spans="2:16" ht="22" x14ac:dyDescent="0.35">
      <c r="B39" s="280"/>
      <c r="C39" s="37" t="s">
        <v>400</v>
      </c>
      <c r="D39" s="318"/>
      <c r="E39" s="319"/>
      <c r="F39" s="319"/>
      <c r="G39" s="319"/>
      <c r="H39" s="319"/>
      <c r="I39" s="319"/>
      <c r="J39" s="319"/>
      <c r="K39" s="319"/>
      <c r="L39" s="319"/>
      <c r="M39" s="319"/>
      <c r="N39" s="319"/>
      <c r="O39" s="320"/>
    </row>
    <row r="40" spans="2:16" x14ac:dyDescent="0.35">
      <c r="B40" s="280" t="s">
        <v>419</v>
      </c>
      <c r="C40" s="37" t="s">
        <v>398</v>
      </c>
      <c r="D40" s="281" t="s">
        <v>500</v>
      </c>
      <c r="E40" s="313"/>
      <c r="F40" s="313"/>
      <c r="G40" s="313"/>
      <c r="H40" s="313"/>
      <c r="I40" s="313"/>
      <c r="J40" s="313"/>
      <c r="K40" s="313"/>
      <c r="L40" s="313"/>
      <c r="M40" s="313"/>
      <c r="N40" s="313"/>
      <c r="O40" s="314"/>
    </row>
    <row r="41" spans="2:16" x14ac:dyDescent="0.35">
      <c r="B41" s="280"/>
      <c r="C41" s="37" t="s">
        <v>399</v>
      </c>
      <c r="D41" s="315"/>
      <c r="E41" s="316"/>
      <c r="F41" s="316"/>
      <c r="G41" s="316"/>
      <c r="H41" s="316"/>
      <c r="I41" s="316"/>
      <c r="J41" s="316"/>
      <c r="K41" s="316"/>
      <c r="L41" s="316"/>
      <c r="M41" s="316"/>
      <c r="N41" s="316"/>
      <c r="O41" s="317"/>
    </row>
    <row r="42" spans="2:16" x14ac:dyDescent="0.35">
      <c r="B42" s="280"/>
      <c r="C42" s="37">
        <v>2020</v>
      </c>
      <c r="D42" s="315"/>
      <c r="E42" s="316"/>
      <c r="F42" s="316"/>
      <c r="G42" s="316"/>
      <c r="H42" s="316"/>
      <c r="I42" s="316"/>
      <c r="J42" s="316"/>
      <c r="K42" s="316"/>
      <c r="L42" s="316"/>
      <c r="M42" s="316"/>
      <c r="N42" s="316"/>
      <c r="O42" s="317"/>
    </row>
    <row r="43" spans="2:16" x14ac:dyDescent="0.35">
      <c r="B43" s="280"/>
      <c r="C43" s="37">
        <v>2021</v>
      </c>
      <c r="D43" s="315"/>
      <c r="E43" s="316"/>
      <c r="F43" s="316"/>
      <c r="G43" s="316"/>
      <c r="H43" s="316"/>
      <c r="I43" s="316"/>
      <c r="J43" s="316"/>
      <c r="K43" s="316"/>
      <c r="L43" s="316"/>
      <c r="M43" s="316"/>
      <c r="N43" s="316"/>
      <c r="O43" s="317"/>
    </row>
    <row r="44" spans="2:16" x14ac:dyDescent="0.35">
      <c r="B44" s="280"/>
      <c r="C44" s="37">
        <v>2022</v>
      </c>
      <c r="D44" s="315"/>
      <c r="E44" s="316"/>
      <c r="F44" s="316"/>
      <c r="G44" s="316"/>
      <c r="H44" s="316"/>
      <c r="I44" s="316"/>
      <c r="J44" s="316"/>
      <c r="K44" s="316"/>
      <c r="L44" s="316"/>
      <c r="M44" s="316"/>
      <c r="N44" s="316"/>
      <c r="O44" s="317"/>
    </row>
    <row r="45" spans="2:16" ht="22" x14ac:dyDescent="0.35">
      <c r="B45" s="280"/>
      <c r="C45" s="37" t="s">
        <v>400</v>
      </c>
      <c r="D45" s="318"/>
      <c r="E45" s="319"/>
      <c r="F45" s="319"/>
      <c r="G45" s="319"/>
      <c r="H45" s="319"/>
      <c r="I45" s="319"/>
      <c r="J45" s="319"/>
      <c r="K45" s="319"/>
      <c r="L45" s="319"/>
      <c r="M45" s="319"/>
      <c r="N45" s="319"/>
      <c r="O45" s="320"/>
    </row>
    <row r="46" spans="2:16" ht="15" customHeight="1" x14ac:dyDescent="0.35">
      <c r="B46" s="280" t="s">
        <v>420</v>
      </c>
      <c r="C46" s="37" t="s">
        <v>398</v>
      </c>
      <c r="D46" s="68" t="s">
        <v>51</v>
      </c>
      <c r="E46" s="68" t="s">
        <v>51</v>
      </c>
      <c r="F46" s="290" t="s">
        <v>541</v>
      </c>
      <c r="G46" s="290" t="s">
        <v>51</v>
      </c>
      <c r="H46" s="290" t="s">
        <v>51</v>
      </c>
      <c r="I46" s="290" t="s">
        <v>547</v>
      </c>
      <c r="J46" s="290" t="s">
        <v>537</v>
      </c>
      <c r="K46" s="290" t="s">
        <v>538</v>
      </c>
      <c r="L46" s="310" t="s">
        <v>786</v>
      </c>
      <c r="M46" s="290" t="s">
        <v>533</v>
      </c>
      <c r="N46" s="290" t="s">
        <v>515</v>
      </c>
      <c r="O46" s="296" t="s">
        <v>548</v>
      </c>
    </row>
    <row r="47" spans="2:16" x14ac:dyDescent="0.35">
      <c r="B47" s="280"/>
      <c r="C47" s="37" t="s">
        <v>399</v>
      </c>
      <c r="D47" s="59">
        <v>0</v>
      </c>
      <c r="E47" s="62">
        <f>0</f>
        <v>0</v>
      </c>
      <c r="F47" s="308"/>
      <c r="G47" s="308"/>
      <c r="H47" s="308"/>
      <c r="I47" s="308"/>
      <c r="J47" s="308"/>
      <c r="K47" s="308"/>
      <c r="L47" s="311"/>
      <c r="M47" s="308"/>
      <c r="N47" s="308"/>
      <c r="O47" s="297"/>
    </row>
    <row r="48" spans="2:16" x14ac:dyDescent="0.35">
      <c r="B48" s="280"/>
      <c r="C48" s="37">
        <v>2020</v>
      </c>
      <c r="D48" s="59">
        <v>39</v>
      </c>
      <c r="E48" s="62">
        <f>329000/D48</f>
        <v>8435.8974358974356</v>
      </c>
      <c r="F48" s="308"/>
      <c r="G48" s="308"/>
      <c r="H48" s="308"/>
      <c r="I48" s="308"/>
      <c r="J48" s="308"/>
      <c r="K48" s="308"/>
      <c r="L48" s="311"/>
      <c r="M48" s="308"/>
      <c r="N48" s="308"/>
      <c r="O48" s="297"/>
    </row>
    <row r="49" spans="2:18" x14ac:dyDescent="0.35">
      <c r="B49" s="280"/>
      <c r="C49" s="37">
        <v>2021</v>
      </c>
      <c r="D49" s="59">
        <v>300</v>
      </c>
      <c r="E49" s="62">
        <f>2528000/D49</f>
        <v>8426.6666666666661</v>
      </c>
      <c r="F49" s="308"/>
      <c r="G49" s="308"/>
      <c r="H49" s="308"/>
      <c r="I49" s="308"/>
      <c r="J49" s="308"/>
      <c r="K49" s="308"/>
      <c r="L49" s="311"/>
      <c r="M49" s="308"/>
      <c r="N49" s="308"/>
      <c r="O49" s="297"/>
    </row>
    <row r="50" spans="2:18" x14ac:dyDescent="0.35">
      <c r="B50" s="280"/>
      <c r="C50" s="37">
        <v>2022</v>
      </c>
      <c r="D50" s="59">
        <v>300</v>
      </c>
      <c r="E50" s="62">
        <f>2528000/D50</f>
        <v>8426.6666666666661</v>
      </c>
      <c r="F50" s="308"/>
      <c r="G50" s="308"/>
      <c r="H50" s="308"/>
      <c r="I50" s="308"/>
      <c r="J50" s="308"/>
      <c r="K50" s="308"/>
      <c r="L50" s="311"/>
      <c r="M50" s="308"/>
      <c r="N50" s="308"/>
      <c r="O50" s="297"/>
    </row>
    <row r="51" spans="2:18" ht="22" x14ac:dyDescent="0.35">
      <c r="B51" s="280"/>
      <c r="C51" s="37" t="s">
        <v>400</v>
      </c>
      <c r="D51" s="69">
        <f>SUM(D48:D50)</f>
        <v>639</v>
      </c>
      <c r="E51" s="70">
        <f>((D48*E48)+(D49*E49)+(D50*E50))/D51</f>
        <v>8427.2300469483562</v>
      </c>
      <c r="F51" s="309"/>
      <c r="G51" s="309"/>
      <c r="H51" s="309"/>
      <c r="I51" s="309"/>
      <c r="J51" s="309"/>
      <c r="K51" s="309"/>
      <c r="L51" s="312"/>
      <c r="M51" s="309"/>
      <c r="N51" s="309"/>
      <c r="O51" s="298"/>
    </row>
    <row r="52" spans="2:18" ht="15" customHeight="1" x14ac:dyDescent="0.35">
      <c r="B52" s="280" t="s">
        <v>506</v>
      </c>
      <c r="C52" s="37" t="s">
        <v>398</v>
      </c>
      <c r="D52" s="68" t="s">
        <v>51</v>
      </c>
      <c r="E52" s="68" t="s">
        <v>51</v>
      </c>
      <c r="F52" s="290" t="s">
        <v>541</v>
      </c>
      <c r="G52" s="290" t="s">
        <v>51</v>
      </c>
      <c r="H52" s="290" t="s">
        <v>51</v>
      </c>
      <c r="I52" s="290" t="s">
        <v>547</v>
      </c>
      <c r="J52" s="290" t="s">
        <v>537</v>
      </c>
      <c r="K52" s="290" t="s">
        <v>538</v>
      </c>
      <c r="L52" s="310" t="s">
        <v>786</v>
      </c>
      <c r="M52" s="290" t="s">
        <v>533</v>
      </c>
      <c r="N52" s="290" t="s">
        <v>515</v>
      </c>
      <c r="O52" s="296" t="s">
        <v>548</v>
      </c>
      <c r="R52" s="71"/>
    </row>
    <row r="53" spans="2:18" x14ac:dyDescent="0.35">
      <c r="B53" s="280"/>
      <c r="C53" s="37" t="s">
        <v>399</v>
      </c>
      <c r="D53" s="59">
        <v>0</v>
      </c>
      <c r="E53" s="62">
        <f>0</f>
        <v>0</v>
      </c>
      <c r="F53" s="308"/>
      <c r="G53" s="308"/>
      <c r="H53" s="308"/>
      <c r="I53" s="308"/>
      <c r="J53" s="308"/>
      <c r="K53" s="308"/>
      <c r="L53" s="311"/>
      <c r="M53" s="308"/>
      <c r="N53" s="308"/>
      <c r="O53" s="297"/>
      <c r="R53" s="71"/>
    </row>
    <row r="54" spans="2:18" x14ac:dyDescent="0.35">
      <c r="B54" s="280"/>
      <c r="C54" s="37">
        <v>2020</v>
      </c>
      <c r="D54" s="59">
        <v>150</v>
      </c>
      <c r="E54" s="62">
        <f>3672000/D54</f>
        <v>24480</v>
      </c>
      <c r="F54" s="308"/>
      <c r="G54" s="308"/>
      <c r="H54" s="308"/>
      <c r="I54" s="308"/>
      <c r="J54" s="308"/>
      <c r="K54" s="308"/>
      <c r="L54" s="311"/>
      <c r="M54" s="308"/>
      <c r="N54" s="308"/>
      <c r="O54" s="297"/>
    </row>
    <row r="55" spans="2:18" x14ac:dyDescent="0.35">
      <c r="B55" s="280"/>
      <c r="C55" s="37">
        <v>2021</v>
      </c>
      <c r="D55" s="59">
        <v>180</v>
      </c>
      <c r="E55" s="62">
        <f>4406000/D55</f>
        <v>24477.777777777777</v>
      </c>
      <c r="F55" s="308"/>
      <c r="G55" s="308"/>
      <c r="H55" s="308"/>
      <c r="I55" s="308"/>
      <c r="J55" s="308"/>
      <c r="K55" s="308"/>
      <c r="L55" s="311"/>
      <c r="M55" s="308"/>
      <c r="N55" s="308"/>
      <c r="O55" s="297"/>
    </row>
    <row r="56" spans="2:18" x14ac:dyDescent="0.35">
      <c r="B56" s="280"/>
      <c r="C56" s="37">
        <v>2022</v>
      </c>
      <c r="D56" s="59">
        <v>180</v>
      </c>
      <c r="E56" s="62">
        <f>4406000/D56</f>
        <v>24477.777777777777</v>
      </c>
      <c r="F56" s="308"/>
      <c r="G56" s="308"/>
      <c r="H56" s="308"/>
      <c r="I56" s="308"/>
      <c r="J56" s="308"/>
      <c r="K56" s="308"/>
      <c r="L56" s="311"/>
      <c r="M56" s="308"/>
      <c r="N56" s="308"/>
      <c r="O56" s="297"/>
    </row>
    <row r="57" spans="2:18" ht="22" x14ac:dyDescent="0.35">
      <c r="B57" s="280"/>
      <c r="C57" s="37" t="s">
        <v>400</v>
      </c>
      <c r="D57" s="69">
        <f>SUM(D54:D56)</f>
        <v>510</v>
      </c>
      <c r="E57" s="70">
        <f>((D54*E54)+(D55*E55)+(D56*E56))/D57</f>
        <v>24478.431372549021</v>
      </c>
      <c r="F57" s="309"/>
      <c r="G57" s="309"/>
      <c r="H57" s="309"/>
      <c r="I57" s="309"/>
      <c r="J57" s="309"/>
      <c r="K57" s="309"/>
      <c r="L57" s="312"/>
      <c r="M57" s="309"/>
      <c r="N57" s="309"/>
      <c r="O57" s="298"/>
    </row>
    <row r="58" spans="2:18" x14ac:dyDescent="0.35">
      <c r="B58" s="280" t="s">
        <v>421</v>
      </c>
      <c r="C58" s="37" t="s">
        <v>398</v>
      </c>
      <c r="D58" s="281" t="s">
        <v>504</v>
      </c>
      <c r="E58" s="313"/>
      <c r="F58" s="313"/>
      <c r="G58" s="313"/>
      <c r="H58" s="313"/>
      <c r="I58" s="313"/>
      <c r="J58" s="313"/>
      <c r="K58" s="313"/>
      <c r="L58" s="313"/>
      <c r="M58" s="313"/>
      <c r="N58" s="313"/>
      <c r="O58" s="314"/>
    </row>
    <row r="59" spans="2:18" x14ac:dyDescent="0.35">
      <c r="B59" s="280"/>
      <c r="C59" s="37" t="s">
        <v>399</v>
      </c>
      <c r="D59" s="315"/>
      <c r="E59" s="316"/>
      <c r="F59" s="316"/>
      <c r="G59" s="316"/>
      <c r="H59" s="316"/>
      <c r="I59" s="316"/>
      <c r="J59" s="316"/>
      <c r="K59" s="316"/>
      <c r="L59" s="316"/>
      <c r="M59" s="316"/>
      <c r="N59" s="316"/>
      <c r="O59" s="317"/>
    </row>
    <row r="60" spans="2:18" x14ac:dyDescent="0.35">
      <c r="B60" s="280"/>
      <c r="C60" s="37">
        <v>2020</v>
      </c>
      <c r="D60" s="315"/>
      <c r="E60" s="316"/>
      <c r="F60" s="316"/>
      <c r="G60" s="316"/>
      <c r="H60" s="316"/>
      <c r="I60" s="316"/>
      <c r="J60" s="316"/>
      <c r="K60" s="316"/>
      <c r="L60" s="316"/>
      <c r="M60" s="316"/>
      <c r="N60" s="316"/>
      <c r="O60" s="317"/>
    </row>
    <row r="61" spans="2:18" x14ac:dyDescent="0.35">
      <c r="B61" s="280"/>
      <c r="C61" s="37">
        <v>2021</v>
      </c>
      <c r="D61" s="315"/>
      <c r="E61" s="316"/>
      <c r="F61" s="316"/>
      <c r="G61" s="316"/>
      <c r="H61" s="316"/>
      <c r="I61" s="316"/>
      <c r="J61" s="316"/>
      <c r="K61" s="316"/>
      <c r="L61" s="316"/>
      <c r="M61" s="316"/>
      <c r="N61" s="316"/>
      <c r="O61" s="317"/>
    </row>
    <row r="62" spans="2:18" x14ac:dyDescent="0.35">
      <c r="B62" s="280"/>
      <c r="C62" s="37">
        <v>2022</v>
      </c>
      <c r="D62" s="315"/>
      <c r="E62" s="316"/>
      <c r="F62" s="316"/>
      <c r="G62" s="316"/>
      <c r="H62" s="316"/>
      <c r="I62" s="316"/>
      <c r="J62" s="316"/>
      <c r="K62" s="316"/>
      <c r="L62" s="316"/>
      <c r="M62" s="316"/>
      <c r="N62" s="316"/>
      <c r="O62" s="317"/>
    </row>
    <row r="63" spans="2:18" ht="22" x14ac:dyDescent="0.35">
      <c r="B63" s="280"/>
      <c r="C63" s="37" t="s">
        <v>400</v>
      </c>
      <c r="D63" s="318"/>
      <c r="E63" s="319"/>
      <c r="F63" s="319"/>
      <c r="G63" s="319"/>
      <c r="H63" s="319"/>
      <c r="I63" s="319"/>
      <c r="J63" s="319"/>
      <c r="K63" s="319"/>
      <c r="L63" s="319"/>
      <c r="M63" s="319"/>
      <c r="N63" s="319"/>
      <c r="O63" s="320"/>
    </row>
    <row r="64" spans="2:18" ht="15" customHeight="1" x14ac:dyDescent="0.35">
      <c r="B64" s="280" t="s">
        <v>422</v>
      </c>
      <c r="C64" s="37" t="s">
        <v>398</v>
      </c>
      <c r="D64" s="290" t="s">
        <v>51</v>
      </c>
      <c r="E64" s="290" t="s">
        <v>51</v>
      </c>
      <c r="F64" s="290" t="s">
        <v>539</v>
      </c>
      <c r="G64" s="290" t="s">
        <v>51</v>
      </c>
      <c r="H64" s="290" t="s">
        <v>51</v>
      </c>
      <c r="I64" s="290" t="s">
        <v>546</v>
      </c>
      <c r="J64" s="290" t="s">
        <v>534</v>
      </c>
      <c r="K64" s="290" t="s">
        <v>51</v>
      </c>
      <c r="L64" s="310" t="s">
        <v>786</v>
      </c>
      <c r="M64" s="290" t="s">
        <v>535</v>
      </c>
      <c r="N64" s="290" t="s">
        <v>51</v>
      </c>
      <c r="O64" s="296" t="s">
        <v>581</v>
      </c>
    </row>
    <row r="65" spans="2:15" x14ac:dyDescent="0.35">
      <c r="B65" s="280"/>
      <c r="C65" s="37" t="s">
        <v>399</v>
      </c>
      <c r="D65" s="308"/>
      <c r="E65" s="308"/>
      <c r="F65" s="308"/>
      <c r="G65" s="308"/>
      <c r="H65" s="308"/>
      <c r="I65" s="308"/>
      <c r="J65" s="308"/>
      <c r="K65" s="308"/>
      <c r="L65" s="311"/>
      <c r="M65" s="308"/>
      <c r="N65" s="308"/>
      <c r="O65" s="297"/>
    </row>
    <row r="66" spans="2:15" x14ac:dyDescent="0.35">
      <c r="B66" s="280"/>
      <c r="C66" s="37">
        <v>2020</v>
      </c>
      <c r="D66" s="308"/>
      <c r="E66" s="308"/>
      <c r="F66" s="308"/>
      <c r="G66" s="308"/>
      <c r="H66" s="308"/>
      <c r="I66" s="308"/>
      <c r="J66" s="308"/>
      <c r="K66" s="308"/>
      <c r="L66" s="311"/>
      <c r="M66" s="308"/>
      <c r="N66" s="308"/>
      <c r="O66" s="297"/>
    </row>
    <row r="67" spans="2:15" x14ac:dyDescent="0.35">
      <c r="B67" s="280"/>
      <c r="C67" s="37">
        <v>2021</v>
      </c>
      <c r="D67" s="308"/>
      <c r="E67" s="308"/>
      <c r="F67" s="308"/>
      <c r="G67" s="308"/>
      <c r="H67" s="308"/>
      <c r="I67" s="308"/>
      <c r="J67" s="308"/>
      <c r="K67" s="308"/>
      <c r="L67" s="311"/>
      <c r="M67" s="308"/>
      <c r="N67" s="308"/>
      <c r="O67" s="297"/>
    </row>
    <row r="68" spans="2:15" x14ac:dyDescent="0.35">
      <c r="B68" s="280"/>
      <c r="C68" s="37">
        <v>2022</v>
      </c>
      <c r="D68" s="308"/>
      <c r="E68" s="308"/>
      <c r="F68" s="308"/>
      <c r="G68" s="308"/>
      <c r="H68" s="308"/>
      <c r="I68" s="308"/>
      <c r="J68" s="308"/>
      <c r="K68" s="308"/>
      <c r="L68" s="311"/>
      <c r="M68" s="308"/>
      <c r="N68" s="308"/>
      <c r="O68" s="297"/>
    </row>
    <row r="69" spans="2:15" ht="22" x14ac:dyDescent="0.35">
      <c r="B69" s="280"/>
      <c r="C69" s="37" t="s">
        <v>400</v>
      </c>
      <c r="D69" s="309"/>
      <c r="E69" s="309"/>
      <c r="F69" s="309"/>
      <c r="G69" s="309"/>
      <c r="H69" s="309"/>
      <c r="I69" s="309"/>
      <c r="J69" s="309"/>
      <c r="K69" s="309"/>
      <c r="L69" s="312"/>
      <c r="M69" s="309"/>
      <c r="N69" s="309"/>
      <c r="O69" s="298"/>
    </row>
    <row r="70" spans="2:15" ht="15" customHeight="1" x14ac:dyDescent="0.35">
      <c r="B70" s="280" t="s">
        <v>501</v>
      </c>
      <c r="C70" s="37" t="s">
        <v>398</v>
      </c>
      <c r="D70" s="68" t="s">
        <v>51</v>
      </c>
      <c r="E70" s="68" t="s">
        <v>51</v>
      </c>
      <c r="F70" s="296" t="s">
        <v>870</v>
      </c>
      <c r="G70" s="290" t="s">
        <v>51</v>
      </c>
      <c r="H70" s="290" t="s">
        <v>51</v>
      </c>
      <c r="I70" s="290" t="s">
        <v>51</v>
      </c>
      <c r="J70" s="290" t="s">
        <v>534</v>
      </c>
      <c r="K70" s="290" t="s">
        <v>51</v>
      </c>
      <c r="L70" s="310" t="s">
        <v>786</v>
      </c>
      <c r="M70" s="290" t="s">
        <v>532</v>
      </c>
      <c r="N70" s="290" t="s">
        <v>51</v>
      </c>
      <c r="O70" s="290" t="s">
        <v>598</v>
      </c>
    </row>
    <row r="71" spans="2:15" x14ac:dyDescent="0.35">
      <c r="B71" s="280"/>
      <c r="C71" s="37" t="s">
        <v>399</v>
      </c>
      <c r="D71" s="59">
        <v>10</v>
      </c>
      <c r="E71" s="62">
        <f>2714452/D71</f>
        <v>271445.2</v>
      </c>
      <c r="F71" s="297"/>
      <c r="G71" s="308"/>
      <c r="H71" s="308"/>
      <c r="I71" s="308"/>
      <c r="J71" s="308"/>
      <c r="K71" s="308"/>
      <c r="L71" s="311"/>
      <c r="M71" s="308"/>
      <c r="N71" s="308"/>
      <c r="O71" s="308"/>
    </row>
    <row r="72" spans="2:15" x14ac:dyDescent="0.35">
      <c r="B72" s="280"/>
      <c r="C72" s="37">
        <v>2020</v>
      </c>
      <c r="D72" s="59">
        <v>31</v>
      </c>
      <c r="E72" s="62">
        <f>3029013/D72</f>
        <v>97710.096774193546</v>
      </c>
      <c r="F72" s="297"/>
      <c r="G72" s="308"/>
      <c r="H72" s="308"/>
      <c r="I72" s="308"/>
      <c r="J72" s="308"/>
      <c r="K72" s="308"/>
      <c r="L72" s="311"/>
      <c r="M72" s="308"/>
      <c r="N72" s="308"/>
      <c r="O72" s="308"/>
    </row>
    <row r="73" spans="2:15" x14ac:dyDescent="0.35">
      <c r="B73" s="280"/>
      <c r="C73" s="37">
        <v>2021</v>
      </c>
      <c r="D73" s="59">
        <v>24</v>
      </c>
      <c r="E73" s="62">
        <f>1833000/D73</f>
        <v>76375</v>
      </c>
      <c r="F73" s="297"/>
      <c r="G73" s="308"/>
      <c r="H73" s="308"/>
      <c r="I73" s="308"/>
      <c r="J73" s="308"/>
      <c r="K73" s="308"/>
      <c r="L73" s="311"/>
      <c r="M73" s="308"/>
      <c r="N73" s="308"/>
      <c r="O73" s="308"/>
    </row>
    <row r="74" spans="2:15" x14ac:dyDescent="0.35">
      <c r="B74" s="280"/>
      <c r="C74" s="37">
        <v>2022</v>
      </c>
      <c r="D74" s="61">
        <v>3</v>
      </c>
      <c r="E74" s="70">
        <f>500000/D74</f>
        <v>166666.66666666666</v>
      </c>
      <c r="F74" s="297"/>
      <c r="G74" s="308"/>
      <c r="H74" s="308"/>
      <c r="I74" s="308"/>
      <c r="J74" s="308"/>
      <c r="K74" s="308"/>
      <c r="L74" s="311"/>
      <c r="M74" s="308"/>
      <c r="N74" s="308"/>
      <c r="O74" s="308"/>
    </row>
    <row r="75" spans="2:15" ht="22" x14ac:dyDescent="0.35">
      <c r="B75" s="280"/>
      <c r="C75" s="37" t="s">
        <v>400</v>
      </c>
      <c r="D75" s="69">
        <f>SUM(D72:D74)</f>
        <v>58</v>
      </c>
      <c r="E75" s="70">
        <f t="shared" ref="E75" si="0">((D72*E72)+(D73*E73)+(D74*E74))/D75</f>
        <v>92448.5</v>
      </c>
      <c r="F75" s="298"/>
      <c r="G75" s="309"/>
      <c r="H75" s="309"/>
      <c r="I75" s="309"/>
      <c r="J75" s="309"/>
      <c r="K75" s="309"/>
      <c r="L75" s="312"/>
      <c r="M75" s="309"/>
      <c r="N75" s="309"/>
      <c r="O75" s="309"/>
    </row>
    <row r="76" spans="2:15" x14ac:dyDescent="0.35">
      <c r="B76" s="280" t="s">
        <v>427</v>
      </c>
      <c r="C76" s="37" t="s">
        <v>398</v>
      </c>
      <c r="D76" s="281" t="s">
        <v>507</v>
      </c>
      <c r="E76" s="313"/>
      <c r="F76" s="313"/>
      <c r="G76" s="313"/>
      <c r="H76" s="313"/>
      <c r="I76" s="313"/>
      <c r="J76" s="313"/>
      <c r="K76" s="313"/>
      <c r="L76" s="313"/>
      <c r="M76" s="313"/>
      <c r="N76" s="313"/>
      <c r="O76" s="314"/>
    </row>
    <row r="77" spans="2:15" x14ac:dyDescent="0.35">
      <c r="B77" s="280"/>
      <c r="C77" s="37" t="s">
        <v>399</v>
      </c>
      <c r="D77" s="315"/>
      <c r="E77" s="316"/>
      <c r="F77" s="316"/>
      <c r="G77" s="316"/>
      <c r="H77" s="316"/>
      <c r="I77" s="316"/>
      <c r="J77" s="316"/>
      <c r="K77" s="316"/>
      <c r="L77" s="316"/>
      <c r="M77" s="316"/>
      <c r="N77" s="316"/>
      <c r="O77" s="317"/>
    </row>
    <row r="78" spans="2:15" x14ac:dyDescent="0.35">
      <c r="B78" s="280"/>
      <c r="C78" s="37">
        <v>2020</v>
      </c>
      <c r="D78" s="315"/>
      <c r="E78" s="316"/>
      <c r="F78" s="316"/>
      <c r="G78" s="316"/>
      <c r="H78" s="316"/>
      <c r="I78" s="316"/>
      <c r="J78" s="316"/>
      <c r="K78" s="316"/>
      <c r="L78" s="316"/>
      <c r="M78" s="316"/>
      <c r="N78" s="316"/>
      <c r="O78" s="317"/>
    </row>
    <row r="79" spans="2:15" x14ac:dyDescent="0.35">
      <c r="B79" s="280"/>
      <c r="C79" s="37">
        <v>2021</v>
      </c>
      <c r="D79" s="315"/>
      <c r="E79" s="316"/>
      <c r="F79" s="316"/>
      <c r="G79" s="316"/>
      <c r="H79" s="316"/>
      <c r="I79" s="316"/>
      <c r="J79" s="316"/>
      <c r="K79" s="316"/>
      <c r="L79" s="316"/>
      <c r="M79" s="316"/>
      <c r="N79" s="316"/>
      <c r="O79" s="317"/>
    </row>
    <row r="80" spans="2:15" x14ac:dyDescent="0.35">
      <c r="B80" s="280"/>
      <c r="C80" s="37">
        <v>2022</v>
      </c>
      <c r="D80" s="315"/>
      <c r="E80" s="316"/>
      <c r="F80" s="316"/>
      <c r="G80" s="316"/>
      <c r="H80" s="316"/>
      <c r="I80" s="316"/>
      <c r="J80" s="316"/>
      <c r="K80" s="316"/>
      <c r="L80" s="316"/>
      <c r="M80" s="316"/>
      <c r="N80" s="316"/>
      <c r="O80" s="317"/>
    </row>
    <row r="81" spans="2:15" ht="22" x14ac:dyDescent="0.35">
      <c r="B81" s="280"/>
      <c r="C81" s="37" t="s">
        <v>400</v>
      </c>
      <c r="D81" s="318"/>
      <c r="E81" s="319"/>
      <c r="F81" s="319"/>
      <c r="G81" s="319"/>
      <c r="H81" s="319"/>
      <c r="I81" s="319"/>
      <c r="J81" s="319"/>
      <c r="K81" s="319"/>
      <c r="L81" s="319"/>
      <c r="M81" s="319"/>
      <c r="N81" s="319"/>
      <c r="O81" s="320"/>
    </row>
    <row r="82" spans="2:15" x14ac:dyDescent="0.35">
      <c r="B82" s="280" t="s">
        <v>428</v>
      </c>
      <c r="C82" s="37" t="s">
        <v>398</v>
      </c>
      <c r="D82" s="281" t="s">
        <v>788</v>
      </c>
      <c r="E82" s="313"/>
      <c r="F82" s="313"/>
      <c r="G82" s="313"/>
      <c r="H82" s="313"/>
      <c r="I82" s="313"/>
      <c r="J82" s="313"/>
      <c r="K82" s="313"/>
      <c r="L82" s="313"/>
      <c r="M82" s="313"/>
      <c r="N82" s="313"/>
      <c r="O82" s="314"/>
    </row>
    <row r="83" spans="2:15" x14ac:dyDescent="0.35">
      <c r="B83" s="280"/>
      <c r="C83" s="37" t="s">
        <v>399</v>
      </c>
      <c r="D83" s="315"/>
      <c r="E83" s="316"/>
      <c r="F83" s="316"/>
      <c r="G83" s="316"/>
      <c r="H83" s="316"/>
      <c r="I83" s="316"/>
      <c r="J83" s="316"/>
      <c r="K83" s="316"/>
      <c r="L83" s="316"/>
      <c r="M83" s="316"/>
      <c r="N83" s="316"/>
      <c r="O83" s="317"/>
    </row>
    <row r="84" spans="2:15" x14ac:dyDescent="0.35">
      <c r="B84" s="280"/>
      <c r="C84" s="37">
        <v>2020</v>
      </c>
      <c r="D84" s="315"/>
      <c r="E84" s="316"/>
      <c r="F84" s="316"/>
      <c r="G84" s="316"/>
      <c r="H84" s="316"/>
      <c r="I84" s="316"/>
      <c r="J84" s="316"/>
      <c r="K84" s="316"/>
      <c r="L84" s="316"/>
      <c r="M84" s="316"/>
      <c r="N84" s="316"/>
      <c r="O84" s="317"/>
    </row>
    <row r="85" spans="2:15" x14ac:dyDescent="0.35">
      <c r="B85" s="280"/>
      <c r="C85" s="37">
        <v>2021</v>
      </c>
      <c r="D85" s="315"/>
      <c r="E85" s="316"/>
      <c r="F85" s="316"/>
      <c r="G85" s="316"/>
      <c r="H85" s="316"/>
      <c r="I85" s="316"/>
      <c r="J85" s="316"/>
      <c r="K85" s="316"/>
      <c r="L85" s="316"/>
      <c r="M85" s="316"/>
      <c r="N85" s="316"/>
      <c r="O85" s="317"/>
    </row>
    <row r="86" spans="2:15" x14ac:dyDescent="0.35">
      <c r="B86" s="280"/>
      <c r="C86" s="37">
        <v>2022</v>
      </c>
      <c r="D86" s="315"/>
      <c r="E86" s="316"/>
      <c r="F86" s="316"/>
      <c r="G86" s="316"/>
      <c r="H86" s="316"/>
      <c r="I86" s="316"/>
      <c r="J86" s="316"/>
      <c r="K86" s="316"/>
      <c r="L86" s="316"/>
      <c r="M86" s="316"/>
      <c r="N86" s="316"/>
      <c r="O86" s="317"/>
    </row>
    <row r="87" spans="2:15" ht="22" x14ac:dyDescent="0.35">
      <c r="B87" s="280"/>
      <c r="C87" s="37" t="s">
        <v>400</v>
      </c>
      <c r="D87" s="318"/>
      <c r="E87" s="319"/>
      <c r="F87" s="319"/>
      <c r="G87" s="319"/>
      <c r="H87" s="319"/>
      <c r="I87" s="319"/>
      <c r="J87" s="319"/>
      <c r="K87" s="319"/>
      <c r="L87" s="319"/>
      <c r="M87" s="319"/>
      <c r="N87" s="319"/>
      <c r="O87" s="320"/>
    </row>
    <row r="88" spans="2:15" x14ac:dyDescent="0.35">
      <c r="B88" s="280" t="s">
        <v>423</v>
      </c>
      <c r="C88" s="37" t="s">
        <v>398</v>
      </c>
      <c r="D88" s="281" t="s">
        <v>505</v>
      </c>
      <c r="E88" s="313"/>
      <c r="F88" s="313"/>
      <c r="G88" s="313"/>
      <c r="H88" s="313"/>
      <c r="I88" s="313"/>
      <c r="J88" s="313"/>
      <c r="K88" s="313"/>
      <c r="L88" s="313"/>
      <c r="M88" s="313"/>
      <c r="N88" s="313"/>
      <c r="O88" s="314"/>
    </row>
    <row r="89" spans="2:15" x14ac:dyDescent="0.35">
      <c r="B89" s="280"/>
      <c r="C89" s="37" t="s">
        <v>399</v>
      </c>
      <c r="D89" s="315"/>
      <c r="E89" s="316"/>
      <c r="F89" s="316"/>
      <c r="G89" s="316"/>
      <c r="H89" s="316"/>
      <c r="I89" s="316"/>
      <c r="J89" s="316"/>
      <c r="K89" s="316"/>
      <c r="L89" s="316"/>
      <c r="M89" s="316"/>
      <c r="N89" s="316"/>
      <c r="O89" s="317"/>
    </row>
    <row r="90" spans="2:15" x14ac:dyDescent="0.35">
      <c r="B90" s="280"/>
      <c r="C90" s="37">
        <v>2020</v>
      </c>
      <c r="D90" s="315"/>
      <c r="E90" s="316"/>
      <c r="F90" s="316"/>
      <c r="G90" s="316"/>
      <c r="H90" s="316"/>
      <c r="I90" s="316"/>
      <c r="J90" s="316"/>
      <c r="K90" s="316"/>
      <c r="L90" s="316"/>
      <c r="M90" s="316"/>
      <c r="N90" s="316"/>
      <c r="O90" s="317"/>
    </row>
    <row r="91" spans="2:15" x14ac:dyDescent="0.35">
      <c r="B91" s="280"/>
      <c r="C91" s="37">
        <v>2021</v>
      </c>
      <c r="D91" s="315"/>
      <c r="E91" s="316"/>
      <c r="F91" s="316"/>
      <c r="G91" s="316"/>
      <c r="H91" s="316"/>
      <c r="I91" s="316"/>
      <c r="J91" s="316"/>
      <c r="K91" s="316"/>
      <c r="L91" s="316"/>
      <c r="M91" s="316"/>
      <c r="N91" s="316"/>
      <c r="O91" s="317"/>
    </row>
    <row r="92" spans="2:15" x14ac:dyDescent="0.35">
      <c r="B92" s="280"/>
      <c r="C92" s="37">
        <v>2022</v>
      </c>
      <c r="D92" s="315"/>
      <c r="E92" s="316"/>
      <c r="F92" s="316"/>
      <c r="G92" s="316"/>
      <c r="H92" s="316"/>
      <c r="I92" s="316"/>
      <c r="J92" s="316"/>
      <c r="K92" s="316"/>
      <c r="L92" s="316"/>
      <c r="M92" s="316"/>
      <c r="N92" s="316"/>
      <c r="O92" s="317"/>
    </row>
    <row r="93" spans="2:15" ht="22" x14ac:dyDescent="0.35">
      <c r="B93" s="280"/>
      <c r="C93" s="37" t="s">
        <v>400</v>
      </c>
      <c r="D93" s="318"/>
      <c r="E93" s="319"/>
      <c r="F93" s="319"/>
      <c r="G93" s="319"/>
      <c r="H93" s="319"/>
      <c r="I93" s="319"/>
      <c r="J93" s="319"/>
      <c r="K93" s="319"/>
      <c r="L93" s="319"/>
      <c r="M93" s="319"/>
      <c r="N93" s="319"/>
      <c r="O93" s="320"/>
    </row>
    <row r="94" spans="2:15" x14ac:dyDescent="0.35">
      <c r="B94" s="280" t="s">
        <v>502</v>
      </c>
      <c r="C94" s="37" t="s">
        <v>398</v>
      </c>
      <c r="D94" s="281" t="s">
        <v>789</v>
      </c>
      <c r="E94" s="313"/>
      <c r="F94" s="313"/>
      <c r="G94" s="313"/>
      <c r="H94" s="313"/>
      <c r="I94" s="313"/>
      <c r="J94" s="313"/>
      <c r="K94" s="313"/>
      <c r="L94" s="313"/>
      <c r="M94" s="313"/>
      <c r="N94" s="313"/>
      <c r="O94" s="314"/>
    </row>
    <row r="95" spans="2:15" x14ac:dyDescent="0.35">
      <c r="B95" s="280"/>
      <c r="C95" s="37" t="s">
        <v>399</v>
      </c>
      <c r="D95" s="315"/>
      <c r="E95" s="316"/>
      <c r="F95" s="316"/>
      <c r="G95" s="316"/>
      <c r="H95" s="316"/>
      <c r="I95" s="316"/>
      <c r="J95" s="316"/>
      <c r="K95" s="316"/>
      <c r="L95" s="316"/>
      <c r="M95" s="316"/>
      <c r="N95" s="316"/>
      <c r="O95" s="317"/>
    </row>
    <row r="96" spans="2:15" x14ac:dyDescent="0.35">
      <c r="B96" s="280"/>
      <c r="C96" s="37">
        <v>2020</v>
      </c>
      <c r="D96" s="315"/>
      <c r="E96" s="316"/>
      <c r="F96" s="316"/>
      <c r="G96" s="316"/>
      <c r="H96" s="316"/>
      <c r="I96" s="316"/>
      <c r="J96" s="316"/>
      <c r="K96" s="316"/>
      <c r="L96" s="316"/>
      <c r="M96" s="316"/>
      <c r="N96" s="316"/>
      <c r="O96" s="317"/>
    </row>
    <row r="97" spans="2:15" x14ac:dyDescent="0.35">
      <c r="B97" s="280"/>
      <c r="C97" s="37">
        <v>2021</v>
      </c>
      <c r="D97" s="315"/>
      <c r="E97" s="316"/>
      <c r="F97" s="316"/>
      <c r="G97" s="316"/>
      <c r="H97" s="316"/>
      <c r="I97" s="316"/>
      <c r="J97" s="316"/>
      <c r="K97" s="316"/>
      <c r="L97" s="316"/>
      <c r="M97" s="316"/>
      <c r="N97" s="316"/>
      <c r="O97" s="317"/>
    </row>
    <row r="98" spans="2:15" x14ac:dyDescent="0.35">
      <c r="B98" s="280"/>
      <c r="C98" s="37">
        <v>2022</v>
      </c>
      <c r="D98" s="315"/>
      <c r="E98" s="316"/>
      <c r="F98" s="316"/>
      <c r="G98" s="316"/>
      <c r="H98" s="316"/>
      <c r="I98" s="316"/>
      <c r="J98" s="316"/>
      <c r="K98" s="316"/>
      <c r="L98" s="316"/>
      <c r="M98" s="316"/>
      <c r="N98" s="316"/>
      <c r="O98" s="317"/>
    </row>
    <row r="99" spans="2:15" ht="22" x14ac:dyDescent="0.35">
      <c r="B99" s="280"/>
      <c r="C99" s="37" t="s">
        <v>400</v>
      </c>
      <c r="D99" s="318"/>
      <c r="E99" s="319"/>
      <c r="F99" s="319"/>
      <c r="G99" s="319"/>
      <c r="H99" s="319"/>
      <c r="I99" s="319"/>
      <c r="J99" s="319"/>
      <c r="K99" s="319"/>
      <c r="L99" s="319"/>
      <c r="M99" s="319"/>
      <c r="N99" s="319"/>
      <c r="O99" s="320"/>
    </row>
    <row r="100" spans="2:15" x14ac:dyDescent="0.35">
      <c r="B100" s="280" t="s">
        <v>429</v>
      </c>
      <c r="C100" s="37" t="s">
        <v>398</v>
      </c>
      <c r="D100" s="281" t="s">
        <v>494</v>
      </c>
      <c r="E100" s="313"/>
      <c r="F100" s="313"/>
      <c r="G100" s="313"/>
      <c r="H100" s="313"/>
      <c r="I100" s="313"/>
      <c r="J100" s="313"/>
      <c r="K100" s="313"/>
      <c r="L100" s="313"/>
      <c r="M100" s="313"/>
      <c r="N100" s="313"/>
      <c r="O100" s="314"/>
    </row>
    <row r="101" spans="2:15" x14ac:dyDescent="0.35">
      <c r="B101" s="280"/>
      <c r="C101" s="37" t="s">
        <v>399</v>
      </c>
      <c r="D101" s="315"/>
      <c r="E101" s="316"/>
      <c r="F101" s="316"/>
      <c r="G101" s="316"/>
      <c r="H101" s="316"/>
      <c r="I101" s="316"/>
      <c r="J101" s="316"/>
      <c r="K101" s="316"/>
      <c r="L101" s="316"/>
      <c r="M101" s="316"/>
      <c r="N101" s="316"/>
      <c r="O101" s="317"/>
    </row>
    <row r="102" spans="2:15" x14ac:dyDescent="0.35">
      <c r="B102" s="280"/>
      <c r="C102" s="37">
        <v>2020</v>
      </c>
      <c r="D102" s="315"/>
      <c r="E102" s="316"/>
      <c r="F102" s="316"/>
      <c r="G102" s="316"/>
      <c r="H102" s="316"/>
      <c r="I102" s="316"/>
      <c r="J102" s="316"/>
      <c r="K102" s="316"/>
      <c r="L102" s="316"/>
      <c r="M102" s="316"/>
      <c r="N102" s="316"/>
      <c r="O102" s="317"/>
    </row>
    <row r="103" spans="2:15" x14ac:dyDescent="0.35">
      <c r="B103" s="280"/>
      <c r="C103" s="37">
        <v>2021</v>
      </c>
      <c r="D103" s="315"/>
      <c r="E103" s="316"/>
      <c r="F103" s="316"/>
      <c r="G103" s="316"/>
      <c r="H103" s="316"/>
      <c r="I103" s="316"/>
      <c r="J103" s="316"/>
      <c r="K103" s="316"/>
      <c r="L103" s="316"/>
      <c r="M103" s="316"/>
      <c r="N103" s="316"/>
      <c r="O103" s="317"/>
    </row>
    <row r="104" spans="2:15" x14ac:dyDescent="0.35">
      <c r="B104" s="280"/>
      <c r="C104" s="37">
        <v>2022</v>
      </c>
      <c r="D104" s="315"/>
      <c r="E104" s="316"/>
      <c r="F104" s="316"/>
      <c r="G104" s="316"/>
      <c r="H104" s="316"/>
      <c r="I104" s="316"/>
      <c r="J104" s="316"/>
      <c r="K104" s="316"/>
      <c r="L104" s="316"/>
      <c r="M104" s="316"/>
      <c r="N104" s="316"/>
      <c r="O104" s="317"/>
    </row>
    <row r="105" spans="2:15" ht="22" x14ac:dyDescent="0.35">
      <c r="B105" s="280"/>
      <c r="C105" s="37" t="s">
        <v>400</v>
      </c>
      <c r="D105" s="318"/>
      <c r="E105" s="319"/>
      <c r="F105" s="319"/>
      <c r="G105" s="319"/>
      <c r="H105" s="319"/>
      <c r="I105" s="319"/>
      <c r="J105" s="319"/>
      <c r="K105" s="319"/>
      <c r="L105" s="319"/>
      <c r="M105" s="319"/>
      <c r="N105" s="319"/>
      <c r="O105" s="320"/>
    </row>
    <row r="106" spans="2:15" x14ac:dyDescent="0.35">
      <c r="B106" s="280" t="s">
        <v>509</v>
      </c>
      <c r="C106" s="37" t="s">
        <v>398</v>
      </c>
      <c r="D106" s="281" t="s">
        <v>508</v>
      </c>
      <c r="E106" s="313"/>
      <c r="F106" s="313"/>
      <c r="G106" s="313"/>
      <c r="H106" s="313"/>
      <c r="I106" s="313"/>
      <c r="J106" s="313"/>
      <c r="K106" s="313"/>
      <c r="L106" s="313"/>
      <c r="M106" s="313"/>
      <c r="N106" s="313"/>
      <c r="O106" s="314"/>
    </row>
    <row r="107" spans="2:15" x14ac:dyDescent="0.35">
      <c r="B107" s="280"/>
      <c r="C107" s="37" t="s">
        <v>399</v>
      </c>
      <c r="D107" s="315"/>
      <c r="E107" s="316"/>
      <c r="F107" s="316"/>
      <c r="G107" s="316"/>
      <c r="H107" s="316"/>
      <c r="I107" s="316"/>
      <c r="J107" s="316"/>
      <c r="K107" s="316"/>
      <c r="L107" s="316"/>
      <c r="M107" s="316"/>
      <c r="N107" s="316"/>
      <c r="O107" s="317"/>
    </row>
    <row r="108" spans="2:15" x14ac:dyDescent="0.35">
      <c r="B108" s="280"/>
      <c r="C108" s="37">
        <v>2020</v>
      </c>
      <c r="D108" s="315"/>
      <c r="E108" s="316"/>
      <c r="F108" s="316"/>
      <c r="G108" s="316"/>
      <c r="H108" s="316"/>
      <c r="I108" s="316"/>
      <c r="J108" s="316"/>
      <c r="K108" s="316"/>
      <c r="L108" s="316"/>
      <c r="M108" s="316"/>
      <c r="N108" s="316"/>
      <c r="O108" s="317"/>
    </row>
    <row r="109" spans="2:15" x14ac:dyDescent="0.35">
      <c r="B109" s="280"/>
      <c r="C109" s="37">
        <v>2021</v>
      </c>
      <c r="D109" s="315"/>
      <c r="E109" s="316"/>
      <c r="F109" s="316"/>
      <c r="G109" s="316"/>
      <c r="H109" s="316"/>
      <c r="I109" s="316"/>
      <c r="J109" s="316"/>
      <c r="K109" s="316"/>
      <c r="L109" s="316"/>
      <c r="M109" s="316"/>
      <c r="N109" s="316"/>
      <c r="O109" s="317"/>
    </row>
    <row r="110" spans="2:15" x14ac:dyDescent="0.35">
      <c r="B110" s="280"/>
      <c r="C110" s="37">
        <v>2022</v>
      </c>
      <c r="D110" s="315"/>
      <c r="E110" s="316"/>
      <c r="F110" s="316"/>
      <c r="G110" s="316"/>
      <c r="H110" s="316"/>
      <c r="I110" s="316"/>
      <c r="J110" s="316"/>
      <c r="K110" s="316"/>
      <c r="L110" s="316"/>
      <c r="M110" s="316"/>
      <c r="N110" s="316"/>
      <c r="O110" s="317"/>
    </row>
    <row r="111" spans="2:15" ht="22" x14ac:dyDescent="0.35">
      <c r="B111" s="280"/>
      <c r="C111" s="37" t="s">
        <v>400</v>
      </c>
      <c r="D111" s="318"/>
      <c r="E111" s="319"/>
      <c r="F111" s="319"/>
      <c r="G111" s="319"/>
      <c r="H111" s="319"/>
      <c r="I111" s="319"/>
      <c r="J111" s="319"/>
      <c r="K111" s="319"/>
      <c r="L111" s="319"/>
      <c r="M111" s="319"/>
      <c r="N111" s="319"/>
      <c r="O111" s="320"/>
    </row>
    <row r="112" spans="2:15" x14ac:dyDescent="0.35">
      <c r="B112" s="280" t="s">
        <v>424</v>
      </c>
      <c r="C112" s="37" t="s">
        <v>398</v>
      </c>
      <c r="D112" s="281" t="s">
        <v>790</v>
      </c>
      <c r="E112" s="313"/>
      <c r="F112" s="313"/>
      <c r="G112" s="313"/>
      <c r="H112" s="313"/>
      <c r="I112" s="313"/>
      <c r="J112" s="313"/>
      <c r="K112" s="313"/>
      <c r="L112" s="313"/>
      <c r="M112" s="313"/>
      <c r="N112" s="313"/>
      <c r="O112" s="314"/>
    </row>
    <row r="113" spans="2:15" x14ac:dyDescent="0.35">
      <c r="B113" s="280"/>
      <c r="C113" s="37" t="s">
        <v>399</v>
      </c>
      <c r="D113" s="315"/>
      <c r="E113" s="316"/>
      <c r="F113" s="316"/>
      <c r="G113" s="316"/>
      <c r="H113" s="316"/>
      <c r="I113" s="316"/>
      <c r="J113" s="316"/>
      <c r="K113" s="316"/>
      <c r="L113" s="316"/>
      <c r="M113" s="316"/>
      <c r="N113" s="316"/>
      <c r="O113" s="317"/>
    </row>
    <row r="114" spans="2:15" x14ac:dyDescent="0.35">
      <c r="B114" s="280"/>
      <c r="C114" s="37">
        <v>2020</v>
      </c>
      <c r="D114" s="315"/>
      <c r="E114" s="316"/>
      <c r="F114" s="316"/>
      <c r="G114" s="316"/>
      <c r="H114" s="316"/>
      <c r="I114" s="316"/>
      <c r="J114" s="316"/>
      <c r="K114" s="316"/>
      <c r="L114" s="316"/>
      <c r="M114" s="316"/>
      <c r="N114" s="316"/>
      <c r="O114" s="317"/>
    </row>
    <row r="115" spans="2:15" x14ac:dyDescent="0.35">
      <c r="B115" s="280"/>
      <c r="C115" s="37">
        <v>2021</v>
      </c>
      <c r="D115" s="315"/>
      <c r="E115" s="316"/>
      <c r="F115" s="316"/>
      <c r="G115" s="316"/>
      <c r="H115" s="316"/>
      <c r="I115" s="316"/>
      <c r="J115" s="316"/>
      <c r="K115" s="316"/>
      <c r="L115" s="316"/>
      <c r="M115" s="316"/>
      <c r="N115" s="316"/>
      <c r="O115" s="317"/>
    </row>
    <row r="116" spans="2:15" x14ac:dyDescent="0.35">
      <c r="B116" s="280"/>
      <c r="C116" s="37">
        <v>2022</v>
      </c>
      <c r="D116" s="315"/>
      <c r="E116" s="316"/>
      <c r="F116" s="316"/>
      <c r="G116" s="316"/>
      <c r="H116" s="316"/>
      <c r="I116" s="316"/>
      <c r="J116" s="316"/>
      <c r="K116" s="316"/>
      <c r="L116" s="316"/>
      <c r="M116" s="316"/>
      <c r="N116" s="316"/>
      <c r="O116" s="317"/>
    </row>
    <row r="117" spans="2:15" ht="22" x14ac:dyDescent="0.35">
      <c r="B117" s="280"/>
      <c r="C117" s="37" t="s">
        <v>400</v>
      </c>
      <c r="D117" s="318"/>
      <c r="E117" s="319"/>
      <c r="F117" s="319"/>
      <c r="G117" s="319"/>
      <c r="H117" s="319"/>
      <c r="I117" s="319"/>
      <c r="J117" s="319"/>
      <c r="K117" s="319"/>
      <c r="L117" s="319"/>
      <c r="M117" s="319"/>
      <c r="N117" s="319"/>
      <c r="O117" s="320"/>
    </row>
    <row r="118" spans="2:15" x14ac:dyDescent="0.35">
      <c r="B118" s="280" t="s">
        <v>430</v>
      </c>
      <c r="C118" s="37" t="s">
        <v>398</v>
      </c>
      <c r="D118" s="281" t="s">
        <v>791</v>
      </c>
      <c r="E118" s="313"/>
      <c r="F118" s="313"/>
      <c r="G118" s="313"/>
      <c r="H118" s="313"/>
      <c r="I118" s="313"/>
      <c r="J118" s="313"/>
      <c r="K118" s="313"/>
      <c r="L118" s="313"/>
      <c r="M118" s="313"/>
      <c r="N118" s="313"/>
      <c r="O118" s="314"/>
    </row>
    <row r="119" spans="2:15" x14ac:dyDescent="0.35">
      <c r="B119" s="280"/>
      <c r="C119" s="37" t="s">
        <v>399</v>
      </c>
      <c r="D119" s="315"/>
      <c r="E119" s="316"/>
      <c r="F119" s="316"/>
      <c r="G119" s="316"/>
      <c r="H119" s="316"/>
      <c r="I119" s="316"/>
      <c r="J119" s="316"/>
      <c r="K119" s="316"/>
      <c r="L119" s="316"/>
      <c r="M119" s="316"/>
      <c r="N119" s="316"/>
      <c r="O119" s="317"/>
    </row>
    <row r="120" spans="2:15" x14ac:dyDescent="0.35">
      <c r="B120" s="280"/>
      <c r="C120" s="37">
        <v>2020</v>
      </c>
      <c r="D120" s="315"/>
      <c r="E120" s="316"/>
      <c r="F120" s="316"/>
      <c r="G120" s="316"/>
      <c r="H120" s="316"/>
      <c r="I120" s="316"/>
      <c r="J120" s="316"/>
      <c r="K120" s="316"/>
      <c r="L120" s="316"/>
      <c r="M120" s="316"/>
      <c r="N120" s="316"/>
      <c r="O120" s="317"/>
    </row>
    <row r="121" spans="2:15" x14ac:dyDescent="0.35">
      <c r="B121" s="280"/>
      <c r="C121" s="37">
        <v>2021</v>
      </c>
      <c r="D121" s="315"/>
      <c r="E121" s="316"/>
      <c r="F121" s="316"/>
      <c r="G121" s="316"/>
      <c r="H121" s="316"/>
      <c r="I121" s="316"/>
      <c r="J121" s="316"/>
      <c r="K121" s="316"/>
      <c r="L121" s="316"/>
      <c r="M121" s="316"/>
      <c r="N121" s="316"/>
      <c r="O121" s="317"/>
    </row>
    <row r="122" spans="2:15" x14ac:dyDescent="0.35">
      <c r="B122" s="280"/>
      <c r="C122" s="37">
        <v>2022</v>
      </c>
      <c r="D122" s="315"/>
      <c r="E122" s="316"/>
      <c r="F122" s="316"/>
      <c r="G122" s="316"/>
      <c r="H122" s="316"/>
      <c r="I122" s="316"/>
      <c r="J122" s="316"/>
      <c r="K122" s="316"/>
      <c r="L122" s="316"/>
      <c r="M122" s="316"/>
      <c r="N122" s="316"/>
      <c r="O122" s="317"/>
    </row>
    <row r="123" spans="2:15" ht="22" x14ac:dyDescent="0.35">
      <c r="B123" s="280"/>
      <c r="C123" s="37" t="s">
        <v>400</v>
      </c>
      <c r="D123" s="318"/>
      <c r="E123" s="319"/>
      <c r="F123" s="319"/>
      <c r="G123" s="319"/>
      <c r="H123" s="319"/>
      <c r="I123" s="319"/>
      <c r="J123" s="319"/>
      <c r="K123" s="319"/>
      <c r="L123" s="319"/>
      <c r="M123" s="319"/>
      <c r="N123" s="319"/>
      <c r="O123" s="320"/>
    </row>
    <row r="124" spans="2:15" ht="15" customHeight="1" x14ac:dyDescent="0.35">
      <c r="B124" s="280" t="s">
        <v>497</v>
      </c>
      <c r="C124" s="37" t="s">
        <v>398</v>
      </c>
      <c r="D124" s="68" t="s">
        <v>51</v>
      </c>
      <c r="E124" s="68" t="s">
        <v>51</v>
      </c>
      <c r="F124" s="290" t="s">
        <v>551</v>
      </c>
      <c r="G124" s="290" t="s">
        <v>51</v>
      </c>
      <c r="H124" s="290" t="s">
        <v>51</v>
      </c>
      <c r="I124" s="290" t="s">
        <v>51</v>
      </c>
      <c r="J124" s="290" t="s">
        <v>534</v>
      </c>
      <c r="K124" s="290" t="s">
        <v>51</v>
      </c>
      <c r="L124" s="310" t="s">
        <v>786</v>
      </c>
      <c r="M124" s="290" t="s">
        <v>532</v>
      </c>
      <c r="N124" s="290" t="s">
        <v>51</v>
      </c>
      <c r="O124" s="290" t="s">
        <v>542</v>
      </c>
    </row>
    <row r="125" spans="2:15" x14ac:dyDescent="0.35">
      <c r="B125" s="280"/>
      <c r="C125" s="37" t="s">
        <v>399</v>
      </c>
      <c r="D125" s="49">
        <v>0</v>
      </c>
      <c r="E125" s="62">
        <v>0</v>
      </c>
      <c r="F125" s="308"/>
      <c r="G125" s="308"/>
      <c r="H125" s="308"/>
      <c r="I125" s="308"/>
      <c r="J125" s="308"/>
      <c r="K125" s="308"/>
      <c r="L125" s="311"/>
      <c r="M125" s="308"/>
      <c r="N125" s="308"/>
      <c r="O125" s="308"/>
    </row>
    <row r="126" spans="2:15" x14ac:dyDescent="0.35">
      <c r="B126" s="280"/>
      <c r="C126" s="37">
        <v>2020</v>
      </c>
      <c r="D126" s="49">
        <v>3</v>
      </c>
      <c r="E126" s="62">
        <f>498000/D126</f>
        <v>166000</v>
      </c>
      <c r="F126" s="308"/>
      <c r="G126" s="308"/>
      <c r="H126" s="308"/>
      <c r="I126" s="308"/>
      <c r="J126" s="308"/>
      <c r="K126" s="308"/>
      <c r="L126" s="311"/>
      <c r="M126" s="308"/>
      <c r="N126" s="308"/>
      <c r="O126" s="308"/>
    </row>
    <row r="127" spans="2:15" x14ac:dyDescent="0.35">
      <c r="B127" s="280"/>
      <c r="C127" s="37">
        <v>2021</v>
      </c>
      <c r="D127" s="49">
        <v>26</v>
      </c>
      <c r="E127" s="62">
        <f>1350000/D127</f>
        <v>51923.076923076922</v>
      </c>
      <c r="F127" s="308"/>
      <c r="G127" s="308"/>
      <c r="H127" s="308"/>
      <c r="I127" s="308"/>
      <c r="J127" s="308"/>
      <c r="K127" s="308"/>
      <c r="L127" s="311"/>
      <c r="M127" s="308"/>
      <c r="N127" s="308"/>
      <c r="O127" s="308"/>
    </row>
    <row r="128" spans="2:15" x14ac:dyDescent="0.35">
      <c r="B128" s="280"/>
      <c r="C128" s="37">
        <v>2022</v>
      </c>
      <c r="D128" s="49">
        <v>13</v>
      </c>
      <c r="E128" s="62">
        <f>975000/D128</f>
        <v>75000</v>
      </c>
      <c r="F128" s="308"/>
      <c r="G128" s="308"/>
      <c r="H128" s="308"/>
      <c r="I128" s="308"/>
      <c r="J128" s="308"/>
      <c r="K128" s="308"/>
      <c r="L128" s="311"/>
      <c r="M128" s="308"/>
      <c r="N128" s="308"/>
      <c r="O128" s="308"/>
    </row>
    <row r="129" spans="2:15" ht="22" x14ac:dyDescent="0.35">
      <c r="B129" s="280"/>
      <c r="C129" s="37" t="s">
        <v>400</v>
      </c>
      <c r="D129" s="69">
        <f>SUM(D126:D128)</f>
        <v>42</v>
      </c>
      <c r="E129" s="70">
        <f t="shared" ref="E129" si="1">((D126*E126)+(D127*E127)+(D128*E128))/D129</f>
        <v>67214.28571428571</v>
      </c>
      <c r="F129" s="309"/>
      <c r="G129" s="309"/>
      <c r="H129" s="309"/>
      <c r="I129" s="309"/>
      <c r="J129" s="309"/>
      <c r="K129" s="309"/>
      <c r="L129" s="312"/>
      <c r="M129" s="309"/>
      <c r="N129" s="309"/>
      <c r="O129" s="309"/>
    </row>
    <row r="130" spans="2:15" s="40" customFormat="1" x14ac:dyDescent="0.35"/>
    <row r="131" spans="2:15" s="40" customFormat="1" x14ac:dyDescent="0.35"/>
    <row r="132" spans="2:15" s="40" customFormat="1" x14ac:dyDescent="0.35"/>
    <row r="133" spans="2:15" s="40" customFormat="1" x14ac:dyDescent="0.35"/>
    <row r="134" spans="2:15" s="40" customFormat="1" x14ac:dyDescent="0.35"/>
    <row r="135" spans="2:15" s="40" customFormat="1" x14ac:dyDescent="0.35"/>
    <row r="136" spans="2:15" s="40" customFormat="1" x14ac:dyDescent="0.35"/>
    <row r="137" spans="2:15" s="40" customFormat="1" x14ac:dyDescent="0.35"/>
    <row r="138" spans="2:15" s="40" customFormat="1" x14ac:dyDescent="0.35"/>
    <row r="139" spans="2:15" s="40" customFormat="1" x14ac:dyDescent="0.35"/>
    <row r="140" spans="2:15" s="40" customFormat="1" x14ac:dyDescent="0.35"/>
    <row r="141" spans="2:15" s="40" customFormat="1" x14ac:dyDescent="0.35"/>
    <row r="142" spans="2:15" s="40" customFormat="1" x14ac:dyDescent="0.35"/>
    <row r="143" spans="2:15" s="40" customFormat="1" x14ac:dyDescent="0.35"/>
  </sheetData>
  <mergeCells count="105">
    <mergeCell ref="O28:O33"/>
    <mergeCell ref="B88:B93"/>
    <mergeCell ref="D76:O81"/>
    <mergeCell ref="B64:B69"/>
    <mergeCell ref="D40:O45"/>
    <mergeCell ref="B34:B39"/>
    <mergeCell ref="B40:B45"/>
    <mergeCell ref="D34:O39"/>
    <mergeCell ref="B58:B63"/>
    <mergeCell ref="B28:B33"/>
    <mergeCell ref="D64:D69"/>
    <mergeCell ref="E64:E69"/>
    <mergeCell ref="G46:G51"/>
    <mergeCell ref="F46:F51"/>
    <mergeCell ref="I46:I51"/>
    <mergeCell ref="F52:F57"/>
    <mergeCell ref="N70:N75"/>
    <mergeCell ref="G64:G69"/>
    <mergeCell ref="K70:K75"/>
    <mergeCell ref="K64:K69"/>
    <mergeCell ref="M64:M69"/>
    <mergeCell ref="F64:F69"/>
    <mergeCell ref="I64:I69"/>
    <mergeCell ref="H46:H51"/>
    <mergeCell ref="B94:B99"/>
    <mergeCell ref="B82:B87"/>
    <mergeCell ref="D82:O87"/>
    <mergeCell ref="D88:O93"/>
    <mergeCell ref="D94:O99"/>
    <mergeCell ref="O46:O51"/>
    <mergeCell ref="O52:O57"/>
    <mergeCell ref="B70:B75"/>
    <mergeCell ref="B76:B81"/>
    <mergeCell ref="G70:G75"/>
    <mergeCell ref="H70:H75"/>
    <mergeCell ref="M70:M75"/>
    <mergeCell ref="F70:F75"/>
    <mergeCell ref="L70:L75"/>
    <mergeCell ref="O64:O69"/>
    <mergeCell ref="K52:K57"/>
    <mergeCell ref="I70:I75"/>
    <mergeCell ref="N64:N69"/>
    <mergeCell ref="H64:H69"/>
    <mergeCell ref="D58:O63"/>
    <mergeCell ref="O70:O75"/>
    <mergeCell ref="J64:J69"/>
    <mergeCell ref="J70:J75"/>
    <mergeCell ref="L64:L69"/>
    <mergeCell ref="B100:B105"/>
    <mergeCell ref="B106:B111"/>
    <mergeCell ref="D100:O105"/>
    <mergeCell ref="D106:O111"/>
    <mergeCell ref="B118:B123"/>
    <mergeCell ref="B124:B129"/>
    <mergeCell ref="D112:O117"/>
    <mergeCell ref="D118:O123"/>
    <mergeCell ref="B112:B117"/>
    <mergeCell ref="G124:G129"/>
    <mergeCell ref="H124:H129"/>
    <mergeCell ref="M124:M129"/>
    <mergeCell ref="J124:J129"/>
    <mergeCell ref="N124:N129"/>
    <mergeCell ref="L124:L129"/>
    <mergeCell ref="F124:F129"/>
    <mergeCell ref="I124:I129"/>
    <mergeCell ref="O124:O129"/>
    <mergeCell ref="K124:K129"/>
    <mergeCell ref="B10:B15"/>
    <mergeCell ref="B16:B21"/>
    <mergeCell ref="B22:B27"/>
    <mergeCell ref="D10:O15"/>
    <mergeCell ref="D16:O21"/>
    <mergeCell ref="G22:G27"/>
    <mergeCell ref="H22:H27"/>
    <mergeCell ref="M22:M27"/>
    <mergeCell ref="J22:J27"/>
    <mergeCell ref="N22:N27"/>
    <mergeCell ref="L22:L27"/>
    <mergeCell ref="F22:F27"/>
    <mergeCell ref="I22:I27"/>
    <mergeCell ref="K22:K27"/>
    <mergeCell ref="O22:O27"/>
    <mergeCell ref="I52:I57"/>
    <mergeCell ref="K46:K51"/>
    <mergeCell ref="B46:B51"/>
    <mergeCell ref="B52:B57"/>
    <mergeCell ref="M28:M33"/>
    <mergeCell ref="M46:M51"/>
    <mergeCell ref="N46:N51"/>
    <mergeCell ref="M52:M57"/>
    <mergeCell ref="N52:N57"/>
    <mergeCell ref="N28:N33"/>
    <mergeCell ref="J28:J33"/>
    <mergeCell ref="J46:J51"/>
    <mergeCell ref="J52:J57"/>
    <mergeCell ref="L28:L33"/>
    <mergeCell ref="L46:L51"/>
    <mergeCell ref="L52:L57"/>
    <mergeCell ref="G52:G57"/>
    <mergeCell ref="H52:H57"/>
    <mergeCell ref="G28:G33"/>
    <mergeCell ref="H28:H33"/>
    <mergeCell ref="F28:F33"/>
    <mergeCell ref="I28:I33"/>
    <mergeCell ref="K28:K33"/>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P105"/>
  <sheetViews>
    <sheetView zoomScaleNormal="100" workbookViewId="0">
      <selection activeCell="U21" sqref="U20:U21"/>
    </sheetView>
  </sheetViews>
  <sheetFormatPr defaultRowHeight="14.5" x14ac:dyDescent="0.35"/>
  <cols>
    <col min="1" max="1" width="9.1796875" style="40"/>
    <col min="2" max="2" width="17.54296875" customWidth="1"/>
    <col min="3" max="3" width="12.7265625" customWidth="1"/>
    <col min="5" max="5" width="10" bestFit="1" customWidth="1"/>
    <col min="15" max="15" width="11.26953125" customWidth="1"/>
    <col min="16" max="16" width="3.81640625" style="40" customWidth="1"/>
    <col min="17" max="42" width="9.1796875" style="40"/>
  </cols>
  <sheetData>
    <row r="1" spans="1:18" s="40" customFormat="1" ht="26" x14ac:dyDescent="0.6">
      <c r="A1" s="42" t="s">
        <v>125</v>
      </c>
    </row>
    <row r="2" spans="1:18" s="40" customFormat="1" x14ac:dyDescent="0.35">
      <c r="A2" s="40" t="s">
        <v>0</v>
      </c>
      <c r="B2" s="43" t="s">
        <v>77</v>
      </c>
      <c r="C2" s="40" t="s">
        <v>409</v>
      </c>
    </row>
    <row r="3" spans="1:18" s="40" customFormat="1" x14ac:dyDescent="0.35">
      <c r="A3" s="44" t="s">
        <v>76</v>
      </c>
      <c r="B3" s="43">
        <v>24</v>
      </c>
      <c r="C3" s="40" t="s">
        <v>431</v>
      </c>
    </row>
    <row r="4" spans="1:18" s="40" customFormat="1" x14ac:dyDescent="0.35"/>
    <row r="5" spans="1:18" s="40" customFormat="1" x14ac:dyDescent="0.35"/>
    <row r="6" spans="1:18" s="40" customFormat="1" x14ac:dyDescent="0.35"/>
    <row r="7" spans="1:18" s="40" customFormat="1" x14ac:dyDescent="0.35"/>
    <row r="8" spans="1:18" s="40" customFormat="1" x14ac:dyDescent="0.35"/>
    <row r="9" spans="1:18" ht="68" x14ac:dyDescent="0.35">
      <c r="A9" s="46"/>
      <c r="B9" s="36" t="s">
        <v>385</v>
      </c>
      <c r="C9" s="36" t="s">
        <v>386</v>
      </c>
      <c r="D9" s="36" t="s">
        <v>387</v>
      </c>
      <c r="E9" s="36" t="s">
        <v>388</v>
      </c>
      <c r="F9" s="36" t="s">
        <v>417</v>
      </c>
      <c r="G9" s="36" t="s">
        <v>390</v>
      </c>
      <c r="H9" s="36" t="s">
        <v>391</v>
      </c>
      <c r="I9" s="36" t="s">
        <v>392</v>
      </c>
      <c r="J9" s="36" t="s">
        <v>393</v>
      </c>
      <c r="K9" s="36" t="s">
        <v>416</v>
      </c>
      <c r="L9" s="36" t="s">
        <v>395</v>
      </c>
      <c r="M9" s="36" t="s">
        <v>396</v>
      </c>
      <c r="N9" s="36" t="s">
        <v>397</v>
      </c>
      <c r="O9" s="36" t="s">
        <v>113</v>
      </c>
      <c r="P9" s="46"/>
    </row>
    <row r="10" spans="1:18" x14ac:dyDescent="0.35">
      <c r="B10" s="280" t="s">
        <v>432</v>
      </c>
      <c r="C10" s="37" t="s">
        <v>398</v>
      </c>
      <c r="D10" s="49" t="s">
        <v>51</v>
      </c>
      <c r="E10" s="49" t="s">
        <v>51</v>
      </c>
      <c r="F10" s="290" t="s">
        <v>543</v>
      </c>
      <c r="G10" s="290" t="s">
        <v>51</v>
      </c>
      <c r="H10" s="290" t="s">
        <v>51</v>
      </c>
      <c r="I10" s="290" t="s">
        <v>51</v>
      </c>
      <c r="J10" s="290" t="s">
        <v>514</v>
      </c>
      <c r="K10" s="290" t="s">
        <v>515</v>
      </c>
      <c r="L10" s="290" t="s">
        <v>51</v>
      </c>
      <c r="M10" s="290" t="s">
        <v>529</v>
      </c>
      <c r="N10" s="290" t="s">
        <v>515</v>
      </c>
      <c r="O10" s="290" t="s">
        <v>517</v>
      </c>
      <c r="P10" s="47"/>
    </row>
    <row r="11" spans="1:18" x14ac:dyDescent="0.35">
      <c r="B11" s="280"/>
      <c r="C11" s="37" t="s">
        <v>399</v>
      </c>
      <c r="D11" s="49">
        <v>473</v>
      </c>
      <c r="E11" s="50">
        <f>181000/D11</f>
        <v>382.66384778012684</v>
      </c>
      <c r="F11" s="308"/>
      <c r="G11" s="308"/>
      <c r="H11" s="308"/>
      <c r="I11" s="308"/>
      <c r="J11" s="308"/>
      <c r="K11" s="308"/>
      <c r="L11" s="308"/>
      <c r="M11" s="308"/>
      <c r="N11" s="308"/>
      <c r="O11" s="308"/>
      <c r="P11" s="47"/>
    </row>
    <row r="12" spans="1:18" x14ac:dyDescent="0.35">
      <c r="B12" s="280"/>
      <c r="C12" s="37">
        <v>2020</v>
      </c>
      <c r="D12" s="49">
        <v>605</v>
      </c>
      <c r="E12" s="50">
        <f>257000/D12</f>
        <v>424.79338842975204</v>
      </c>
      <c r="F12" s="308"/>
      <c r="G12" s="308"/>
      <c r="H12" s="308"/>
      <c r="I12" s="308"/>
      <c r="J12" s="308"/>
      <c r="K12" s="308"/>
      <c r="L12" s="308"/>
      <c r="M12" s="308"/>
      <c r="N12" s="308"/>
      <c r="O12" s="308"/>
      <c r="P12" s="47"/>
    </row>
    <row r="13" spans="1:18" x14ac:dyDescent="0.35">
      <c r="B13" s="280"/>
      <c r="C13" s="37">
        <v>2021</v>
      </c>
      <c r="D13" s="49">
        <v>486</v>
      </c>
      <c r="E13" s="50">
        <f t="shared" ref="E13:E14" si="0">257000/D13</f>
        <v>528.80658436213992</v>
      </c>
      <c r="F13" s="308"/>
      <c r="G13" s="308"/>
      <c r="H13" s="308"/>
      <c r="I13" s="308"/>
      <c r="J13" s="308"/>
      <c r="K13" s="308"/>
      <c r="L13" s="308"/>
      <c r="M13" s="308"/>
      <c r="N13" s="308"/>
      <c r="O13" s="308"/>
      <c r="P13" s="47"/>
    </row>
    <row r="14" spans="1:18" x14ac:dyDescent="0.35">
      <c r="B14" s="280"/>
      <c r="C14" s="37">
        <v>2022</v>
      </c>
      <c r="D14" s="49">
        <v>480</v>
      </c>
      <c r="E14" s="50">
        <f t="shared" si="0"/>
        <v>535.41666666666663</v>
      </c>
      <c r="F14" s="308"/>
      <c r="G14" s="308"/>
      <c r="H14" s="308"/>
      <c r="I14" s="308"/>
      <c r="J14" s="308"/>
      <c r="K14" s="308"/>
      <c r="L14" s="308"/>
      <c r="M14" s="308"/>
      <c r="N14" s="308"/>
      <c r="O14" s="308"/>
      <c r="P14" s="47"/>
      <c r="R14" s="194"/>
    </row>
    <row r="15" spans="1:18" ht="22" x14ac:dyDescent="0.35">
      <c r="B15" s="280"/>
      <c r="C15" s="37" t="s">
        <v>400</v>
      </c>
      <c r="D15" s="61">
        <f>D14+D13+D12</f>
        <v>1571</v>
      </c>
      <c r="E15" s="62">
        <f>((D12*E12)+(D13*E13)+(D14*E14))/D15</f>
        <v>490.77021005728835</v>
      </c>
      <c r="F15" s="309"/>
      <c r="G15" s="309"/>
      <c r="H15" s="309"/>
      <c r="I15" s="309"/>
      <c r="J15" s="309"/>
      <c r="K15" s="309"/>
      <c r="L15" s="309"/>
      <c r="M15" s="309"/>
      <c r="N15" s="309"/>
      <c r="O15" s="309"/>
      <c r="P15" s="47"/>
    </row>
    <row r="16" spans="1:18" ht="15" customHeight="1" x14ac:dyDescent="0.35">
      <c r="B16" s="280" t="s">
        <v>433</v>
      </c>
      <c r="C16" s="37" t="s">
        <v>398</v>
      </c>
      <c r="D16" s="49">
        <v>62</v>
      </c>
      <c r="E16" s="50">
        <f>32000/D16</f>
        <v>516.12903225806451</v>
      </c>
      <c r="F16" s="290" t="s">
        <v>543</v>
      </c>
      <c r="G16" s="290" t="s">
        <v>51</v>
      </c>
      <c r="H16" s="290" t="s">
        <v>51</v>
      </c>
      <c r="I16" s="290" t="s">
        <v>51</v>
      </c>
      <c r="J16" s="290" t="s">
        <v>514</v>
      </c>
      <c r="K16" s="290" t="s">
        <v>515</v>
      </c>
      <c r="L16" s="290" t="s">
        <v>51</v>
      </c>
      <c r="M16" s="290" t="s">
        <v>529</v>
      </c>
      <c r="N16" s="290" t="s">
        <v>515</v>
      </c>
      <c r="O16" s="290" t="s">
        <v>517</v>
      </c>
      <c r="P16" s="47"/>
    </row>
    <row r="17" spans="2:16" x14ac:dyDescent="0.35">
      <c r="B17" s="280"/>
      <c r="C17" s="37" t="s">
        <v>399</v>
      </c>
      <c r="D17" s="49">
        <v>62</v>
      </c>
      <c r="E17" s="50">
        <f>32000/D17</f>
        <v>516.12903225806451</v>
      </c>
      <c r="F17" s="308"/>
      <c r="G17" s="308"/>
      <c r="H17" s="308"/>
      <c r="I17" s="308"/>
      <c r="J17" s="308"/>
      <c r="K17" s="308"/>
      <c r="L17" s="308"/>
      <c r="M17" s="308"/>
      <c r="N17" s="308"/>
      <c r="O17" s="308"/>
      <c r="P17" s="47"/>
    </row>
    <row r="18" spans="2:16" x14ac:dyDescent="0.35">
      <c r="B18" s="280"/>
      <c r="C18" s="37">
        <v>2020</v>
      </c>
      <c r="D18" s="49">
        <v>122</v>
      </c>
      <c r="E18" s="50">
        <f>59000/D18</f>
        <v>483.60655737704917</v>
      </c>
      <c r="F18" s="308"/>
      <c r="G18" s="308"/>
      <c r="H18" s="308"/>
      <c r="I18" s="308"/>
      <c r="J18" s="308"/>
      <c r="K18" s="308"/>
      <c r="L18" s="308"/>
      <c r="M18" s="308"/>
      <c r="N18" s="308"/>
      <c r="O18" s="308"/>
      <c r="P18" s="47"/>
    </row>
    <row r="19" spans="2:16" x14ac:dyDescent="0.35">
      <c r="B19" s="280"/>
      <c r="C19" s="37">
        <v>2021</v>
      </c>
      <c r="D19" s="49">
        <v>236</v>
      </c>
      <c r="E19" s="50">
        <f t="shared" ref="E19:E20" si="1">59000/D19</f>
        <v>250</v>
      </c>
      <c r="F19" s="308"/>
      <c r="G19" s="308"/>
      <c r="H19" s="308"/>
      <c r="I19" s="308"/>
      <c r="J19" s="308"/>
      <c r="K19" s="308"/>
      <c r="L19" s="308"/>
      <c r="M19" s="308"/>
      <c r="N19" s="308"/>
      <c r="O19" s="308"/>
      <c r="P19" s="47"/>
    </row>
    <row r="20" spans="2:16" x14ac:dyDescent="0.35">
      <c r="B20" s="280"/>
      <c r="C20" s="37">
        <v>2022</v>
      </c>
      <c r="D20" s="49">
        <v>268</v>
      </c>
      <c r="E20" s="50">
        <f t="shared" si="1"/>
        <v>220.14925373134329</v>
      </c>
      <c r="F20" s="308"/>
      <c r="G20" s="308"/>
      <c r="H20" s="308"/>
      <c r="I20" s="308"/>
      <c r="J20" s="308"/>
      <c r="K20" s="308"/>
      <c r="L20" s="308"/>
      <c r="M20" s="308"/>
      <c r="N20" s="308"/>
      <c r="O20" s="308"/>
      <c r="P20" s="47"/>
    </row>
    <row r="21" spans="2:16" ht="22" x14ac:dyDescent="0.35">
      <c r="B21" s="280"/>
      <c r="C21" s="37" t="s">
        <v>400</v>
      </c>
      <c r="D21" s="61">
        <f>D20+D19+D18</f>
        <v>626</v>
      </c>
      <c r="E21" s="62">
        <f>((D18*E18)+(D19*E19)+(D20*E20))/D21</f>
        <v>282.74760383386581</v>
      </c>
      <c r="F21" s="309"/>
      <c r="G21" s="309"/>
      <c r="H21" s="309"/>
      <c r="I21" s="309"/>
      <c r="J21" s="309"/>
      <c r="K21" s="309"/>
      <c r="L21" s="309"/>
      <c r="M21" s="309"/>
      <c r="N21" s="309"/>
      <c r="O21" s="309"/>
      <c r="P21" s="47"/>
    </row>
    <row r="22" spans="2:16" ht="15" customHeight="1" x14ac:dyDescent="0.35">
      <c r="B22" s="280" t="s">
        <v>434</v>
      </c>
      <c r="C22" s="37" t="s">
        <v>398</v>
      </c>
      <c r="D22" s="290" t="s">
        <v>579</v>
      </c>
      <c r="E22" s="290" t="s">
        <v>579</v>
      </c>
      <c r="F22" s="290" t="s">
        <v>543</v>
      </c>
      <c r="G22" s="290" t="s">
        <v>51</v>
      </c>
      <c r="H22" s="290" t="s">
        <v>51</v>
      </c>
      <c r="I22" s="290" t="s">
        <v>51</v>
      </c>
      <c r="J22" s="290" t="s">
        <v>516</v>
      </c>
      <c r="K22" s="290" t="s">
        <v>515</v>
      </c>
      <c r="L22" s="290" t="s">
        <v>51</v>
      </c>
      <c r="M22" s="290" t="s">
        <v>529</v>
      </c>
      <c r="N22" s="290" t="s">
        <v>515</v>
      </c>
      <c r="O22" s="290" t="s">
        <v>580</v>
      </c>
      <c r="P22" s="47"/>
    </row>
    <row r="23" spans="2:16" x14ac:dyDescent="0.35">
      <c r="B23" s="280"/>
      <c r="C23" s="37" t="s">
        <v>399</v>
      </c>
      <c r="D23" s="308"/>
      <c r="E23" s="308"/>
      <c r="F23" s="308"/>
      <c r="G23" s="308"/>
      <c r="H23" s="308"/>
      <c r="I23" s="308"/>
      <c r="J23" s="308"/>
      <c r="K23" s="308"/>
      <c r="L23" s="308"/>
      <c r="M23" s="308"/>
      <c r="N23" s="308"/>
      <c r="O23" s="308"/>
      <c r="P23" s="47"/>
    </row>
    <row r="24" spans="2:16" x14ac:dyDescent="0.35">
      <c r="B24" s="280"/>
      <c r="C24" s="37">
        <v>2020</v>
      </c>
      <c r="D24" s="308"/>
      <c r="E24" s="308"/>
      <c r="F24" s="308"/>
      <c r="G24" s="308"/>
      <c r="H24" s="308"/>
      <c r="I24" s="308"/>
      <c r="J24" s="308"/>
      <c r="K24" s="308"/>
      <c r="L24" s="308"/>
      <c r="M24" s="308"/>
      <c r="N24" s="308"/>
      <c r="O24" s="308"/>
      <c r="P24" s="47"/>
    </row>
    <row r="25" spans="2:16" x14ac:dyDescent="0.35">
      <c r="B25" s="280"/>
      <c r="C25" s="37">
        <v>2021</v>
      </c>
      <c r="D25" s="308"/>
      <c r="E25" s="308"/>
      <c r="F25" s="308"/>
      <c r="G25" s="308"/>
      <c r="H25" s="308"/>
      <c r="I25" s="308"/>
      <c r="J25" s="308"/>
      <c r="K25" s="308"/>
      <c r="L25" s="308"/>
      <c r="M25" s="308"/>
      <c r="N25" s="308"/>
      <c r="O25" s="308"/>
      <c r="P25" s="47"/>
    </row>
    <row r="26" spans="2:16" x14ac:dyDescent="0.35">
      <c r="B26" s="280"/>
      <c r="C26" s="37">
        <v>2022</v>
      </c>
      <c r="D26" s="308"/>
      <c r="E26" s="308"/>
      <c r="F26" s="308"/>
      <c r="G26" s="308"/>
      <c r="H26" s="308"/>
      <c r="I26" s="308"/>
      <c r="J26" s="308"/>
      <c r="K26" s="308"/>
      <c r="L26" s="308"/>
      <c r="M26" s="308"/>
      <c r="N26" s="308"/>
      <c r="O26" s="308"/>
      <c r="P26" s="47"/>
    </row>
    <row r="27" spans="2:16" ht="22" x14ac:dyDescent="0.35">
      <c r="B27" s="280"/>
      <c r="C27" s="37" t="s">
        <v>400</v>
      </c>
      <c r="D27" s="309"/>
      <c r="E27" s="309"/>
      <c r="F27" s="309"/>
      <c r="G27" s="309"/>
      <c r="H27" s="309"/>
      <c r="I27" s="309"/>
      <c r="J27" s="309"/>
      <c r="K27" s="309"/>
      <c r="L27" s="309"/>
      <c r="M27" s="309"/>
      <c r="N27" s="309"/>
      <c r="O27" s="309"/>
      <c r="P27" s="47"/>
    </row>
    <row r="28" spans="2:16" ht="15" customHeight="1" x14ac:dyDescent="0.35">
      <c r="B28" s="280" t="s">
        <v>435</v>
      </c>
      <c r="C28" s="37" t="s">
        <v>398</v>
      </c>
      <c r="D28" s="281" t="s">
        <v>792</v>
      </c>
      <c r="E28" s="313"/>
      <c r="F28" s="313"/>
      <c r="G28" s="313"/>
      <c r="H28" s="313"/>
      <c r="I28" s="313"/>
      <c r="J28" s="313"/>
      <c r="K28" s="313"/>
      <c r="L28" s="313"/>
      <c r="M28" s="313"/>
      <c r="N28" s="313"/>
      <c r="O28" s="314"/>
    </row>
    <row r="29" spans="2:16" x14ac:dyDescent="0.35">
      <c r="B29" s="280"/>
      <c r="C29" s="37" t="s">
        <v>399</v>
      </c>
      <c r="D29" s="315"/>
      <c r="E29" s="316"/>
      <c r="F29" s="316"/>
      <c r="G29" s="316"/>
      <c r="H29" s="316"/>
      <c r="I29" s="316"/>
      <c r="J29" s="316"/>
      <c r="K29" s="316"/>
      <c r="L29" s="316"/>
      <c r="M29" s="316"/>
      <c r="N29" s="316"/>
      <c r="O29" s="317"/>
    </row>
    <row r="30" spans="2:16" x14ac:dyDescent="0.35">
      <c r="B30" s="280"/>
      <c r="C30" s="37">
        <v>2020</v>
      </c>
      <c r="D30" s="315"/>
      <c r="E30" s="316"/>
      <c r="F30" s="316"/>
      <c r="G30" s="316"/>
      <c r="H30" s="316"/>
      <c r="I30" s="316"/>
      <c r="J30" s="316"/>
      <c r="K30" s="316"/>
      <c r="L30" s="316"/>
      <c r="M30" s="316"/>
      <c r="N30" s="316"/>
      <c r="O30" s="317"/>
    </row>
    <row r="31" spans="2:16" x14ac:dyDescent="0.35">
      <c r="B31" s="280"/>
      <c r="C31" s="37">
        <v>2021</v>
      </c>
      <c r="D31" s="315"/>
      <c r="E31" s="316"/>
      <c r="F31" s="316"/>
      <c r="G31" s="316"/>
      <c r="H31" s="316"/>
      <c r="I31" s="316"/>
      <c r="J31" s="316"/>
      <c r="K31" s="316"/>
      <c r="L31" s="316"/>
      <c r="M31" s="316"/>
      <c r="N31" s="316"/>
      <c r="O31" s="317"/>
    </row>
    <row r="32" spans="2:16" x14ac:dyDescent="0.35">
      <c r="B32" s="280"/>
      <c r="C32" s="37">
        <v>2022</v>
      </c>
      <c r="D32" s="315"/>
      <c r="E32" s="316"/>
      <c r="F32" s="316"/>
      <c r="G32" s="316"/>
      <c r="H32" s="316"/>
      <c r="I32" s="316"/>
      <c r="J32" s="316"/>
      <c r="K32" s="316"/>
      <c r="L32" s="316"/>
      <c r="M32" s="316"/>
      <c r="N32" s="316"/>
      <c r="O32" s="317"/>
    </row>
    <row r="33" spans="2:15" ht="22" x14ac:dyDescent="0.35">
      <c r="B33" s="280"/>
      <c r="C33" s="37" t="s">
        <v>400</v>
      </c>
      <c r="D33" s="318"/>
      <c r="E33" s="319"/>
      <c r="F33" s="319"/>
      <c r="G33" s="319"/>
      <c r="H33" s="319"/>
      <c r="I33" s="319"/>
      <c r="J33" s="319"/>
      <c r="K33" s="319"/>
      <c r="L33" s="319"/>
      <c r="M33" s="319"/>
      <c r="N33" s="319"/>
      <c r="O33" s="320"/>
    </row>
    <row r="34" spans="2:15" ht="15" customHeight="1" x14ac:dyDescent="0.35">
      <c r="B34" s="280" t="s">
        <v>436</v>
      </c>
      <c r="C34" s="37" t="s">
        <v>398</v>
      </c>
      <c r="D34" s="51">
        <v>784</v>
      </c>
      <c r="E34" s="50">
        <f>120000/D34</f>
        <v>153.0612244897959</v>
      </c>
      <c r="F34" s="290" t="s">
        <v>543</v>
      </c>
      <c r="G34" s="290" t="s">
        <v>51</v>
      </c>
      <c r="H34" s="290" t="s">
        <v>51</v>
      </c>
      <c r="I34" s="290" t="s">
        <v>51</v>
      </c>
      <c r="J34" s="290" t="s">
        <v>518</v>
      </c>
      <c r="K34" s="290" t="s">
        <v>51</v>
      </c>
      <c r="L34" s="310" t="s">
        <v>786</v>
      </c>
      <c r="M34" s="290" t="s">
        <v>530</v>
      </c>
      <c r="N34" s="290" t="s">
        <v>515</v>
      </c>
      <c r="O34" s="290" t="s">
        <v>552</v>
      </c>
    </row>
    <row r="35" spans="2:15" x14ac:dyDescent="0.35">
      <c r="B35" s="280"/>
      <c r="C35" s="37" t="s">
        <v>399</v>
      </c>
      <c r="D35" s="51">
        <v>1246</v>
      </c>
      <c r="E35" s="50">
        <f>(98800+94000)/D35</f>
        <v>154.73515248796147</v>
      </c>
      <c r="F35" s="308"/>
      <c r="G35" s="308"/>
      <c r="H35" s="308"/>
      <c r="I35" s="308"/>
      <c r="J35" s="308"/>
      <c r="K35" s="308"/>
      <c r="L35" s="321"/>
      <c r="M35" s="308"/>
      <c r="N35" s="308"/>
      <c r="O35" s="308"/>
    </row>
    <row r="36" spans="2:15" x14ac:dyDescent="0.35">
      <c r="B36" s="280"/>
      <c r="C36" s="37">
        <v>2020</v>
      </c>
      <c r="D36" s="51">
        <v>232</v>
      </c>
      <c r="E36" s="50">
        <f>44100/D36</f>
        <v>190.08620689655172</v>
      </c>
      <c r="F36" s="308"/>
      <c r="G36" s="308"/>
      <c r="H36" s="308"/>
      <c r="I36" s="308"/>
      <c r="J36" s="308"/>
      <c r="K36" s="308"/>
      <c r="L36" s="321"/>
      <c r="M36" s="308"/>
      <c r="N36" s="308"/>
      <c r="O36" s="308"/>
    </row>
    <row r="37" spans="2:15" x14ac:dyDescent="0.35">
      <c r="B37" s="280"/>
      <c r="C37" s="37">
        <v>2021</v>
      </c>
      <c r="D37" s="49" t="s">
        <v>522</v>
      </c>
      <c r="E37" s="49" t="s">
        <v>522</v>
      </c>
      <c r="F37" s="308"/>
      <c r="G37" s="308"/>
      <c r="H37" s="308"/>
      <c r="I37" s="308"/>
      <c r="J37" s="308"/>
      <c r="K37" s="308"/>
      <c r="L37" s="321"/>
      <c r="M37" s="308"/>
      <c r="N37" s="308"/>
      <c r="O37" s="308"/>
    </row>
    <row r="38" spans="2:15" x14ac:dyDescent="0.35">
      <c r="B38" s="280"/>
      <c r="C38" s="37">
        <v>2022</v>
      </c>
      <c r="D38" s="49" t="s">
        <v>522</v>
      </c>
      <c r="E38" s="49" t="s">
        <v>522</v>
      </c>
      <c r="F38" s="308"/>
      <c r="G38" s="308"/>
      <c r="H38" s="308"/>
      <c r="I38" s="308"/>
      <c r="J38" s="308"/>
      <c r="K38" s="308"/>
      <c r="L38" s="321"/>
      <c r="M38" s="308"/>
      <c r="N38" s="308"/>
      <c r="O38" s="308"/>
    </row>
    <row r="39" spans="2:15" ht="22" x14ac:dyDescent="0.35">
      <c r="B39" s="280"/>
      <c r="C39" s="37" t="s">
        <v>400</v>
      </c>
      <c r="D39" s="59" t="s">
        <v>522</v>
      </c>
      <c r="E39" s="59" t="s">
        <v>522</v>
      </c>
      <c r="F39" s="309"/>
      <c r="G39" s="309"/>
      <c r="H39" s="309"/>
      <c r="I39" s="309"/>
      <c r="J39" s="309"/>
      <c r="K39" s="309"/>
      <c r="L39" s="322"/>
      <c r="M39" s="309"/>
      <c r="N39" s="309"/>
      <c r="O39" s="309"/>
    </row>
    <row r="40" spans="2:15" ht="15" customHeight="1" x14ac:dyDescent="0.35">
      <c r="B40" s="280" t="s">
        <v>437</v>
      </c>
      <c r="C40" s="37" t="s">
        <v>398</v>
      </c>
      <c r="D40" s="49">
        <v>92</v>
      </c>
      <c r="E40" s="50">
        <f>81000/D40</f>
        <v>880.43478260869563</v>
      </c>
      <c r="F40" s="290" t="s">
        <v>553</v>
      </c>
      <c r="G40" s="290" t="s">
        <v>51</v>
      </c>
      <c r="H40" s="290" t="s">
        <v>51</v>
      </c>
      <c r="I40" s="290" t="s">
        <v>51</v>
      </c>
      <c r="J40" s="290" t="s">
        <v>514</v>
      </c>
      <c r="K40" s="290" t="s">
        <v>523</v>
      </c>
      <c r="L40" s="290" t="s">
        <v>51</v>
      </c>
      <c r="M40" s="290" t="s">
        <v>529</v>
      </c>
      <c r="N40" s="290" t="s">
        <v>515</v>
      </c>
      <c r="O40" s="290" t="s">
        <v>531</v>
      </c>
    </row>
    <row r="41" spans="2:15" x14ac:dyDescent="0.35">
      <c r="B41" s="280"/>
      <c r="C41" s="37" t="s">
        <v>399</v>
      </c>
      <c r="D41" s="49">
        <v>92</v>
      </c>
      <c r="E41" s="50">
        <f>81000/D41</f>
        <v>880.43478260869563</v>
      </c>
      <c r="F41" s="308"/>
      <c r="G41" s="308"/>
      <c r="H41" s="308"/>
      <c r="I41" s="308"/>
      <c r="J41" s="308"/>
      <c r="K41" s="308"/>
      <c r="L41" s="308"/>
      <c r="M41" s="308"/>
      <c r="N41" s="308"/>
      <c r="O41" s="308"/>
    </row>
    <row r="42" spans="2:15" x14ac:dyDescent="0.35">
      <c r="B42" s="280"/>
      <c r="C42" s="37">
        <v>2020</v>
      </c>
      <c r="D42" s="49">
        <v>150</v>
      </c>
      <c r="E42" s="50">
        <f>223000/D42</f>
        <v>1486.6666666666667</v>
      </c>
      <c r="F42" s="308"/>
      <c r="G42" s="308"/>
      <c r="H42" s="308"/>
      <c r="I42" s="308"/>
      <c r="J42" s="308"/>
      <c r="K42" s="308"/>
      <c r="L42" s="308"/>
      <c r="M42" s="308"/>
      <c r="N42" s="308"/>
      <c r="O42" s="308"/>
    </row>
    <row r="43" spans="2:15" x14ac:dyDescent="0.35">
      <c r="B43" s="280"/>
      <c r="C43" s="37">
        <v>2021</v>
      </c>
      <c r="D43" s="49">
        <f>114+112</f>
        <v>226</v>
      </c>
      <c r="E43" s="50">
        <f t="shared" ref="E43:E44" si="2">223000/D43</f>
        <v>986.72566371681421</v>
      </c>
      <c r="F43" s="308"/>
      <c r="G43" s="308"/>
      <c r="H43" s="308"/>
      <c r="I43" s="308"/>
      <c r="J43" s="308"/>
      <c r="K43" s="308"/>
      <c r="L43" s="308"/>
      <c r="M43" s="308"/>
      <c r="N43" s="308"/>
      <c r="O43" s="308"/>
    </row>
    <row r="44" spans="2:15" x14ac:dyDescent="0.35">
      <c r="B44" s="280"/>
      <c r="C44" s="37">
        <v>2022</v>
      </c>
      <c r="D44" s="49">
        <f>143+87</f>
        <v>230</v>
      </c>
      <c r="E44" s="50">
        <f t="shared" si="2"/>
        <v>969.56521739130437</v>
      </c>
      <c r="F44" s="308"/>
      <c r="G44" s="308"/>
      <c r="H44" s="308"/>
      <c r="I44" s="308"/>
      <c r="J44" s="308"/>
      <c r="K44" s="308"/>
      <c r="L44" s="308"/>
      <c r="M44" s="308"/>
      <c r="N44" s="308"/>
      <c r="O44" s="308"/>
    </row>
    <row r="45" spans="2:15" ht="22" x14ac:dyDescent="0.35">
      <c r="B45" s="280"/>
      <c r="C45" s="37" t="s">
        <v>400</v>
      </c>
      <c r="D45" s="61">
        <f>D44+D43+D42</f>
        <v>606</v>
      </c>
      <c r="E45" s="62">
        <f>((D42*E42)+(D43*E43)+(D44*E44))/D45</f>
        <v>1103.9603960396039</v>
      </c>
      <c r="F45" s="309"/>
      <c r="G45" s="309"/>
      <c r="H45" s="309"/>
      <c r="I45" s="309"/>
      <c r="J45" s="309"/>
      <c r="K45" s="309"/>
      <c r="L45" s="309"/>
      <c r="M45" s="309"/>
      <c r="N45" s="309"/>
      <c r="O45" s="309"/>
    </row>
    <row r="46" spans="2:15" ht="15" customHeight="1" x14ac:dyDescent="0.35">
      <c r="B46" s="280" t="s">
        <v>438</v>
      </c>
      <c r="C46" s="37" t="s">
        <v>398</v>
      </c>
      <c r="D46" s="49">
        <v>250</v>
      </c>
      <c r="E46" s="50">
        <f>130000/D46</f>
        <v>520</v>
      </c>
      <c r="F46" s="290" t="s">
        <v>543</v>
      </c>
      <c r="G46" s="290" t="s">
        <v>51</v>
      </c>
      <c r="H46" s="290" t="s">
        <v>51</v>
      </c>
      <c r="I46" s="290" t="s">
        <v>51</v>
      </c>
      <c r="J46" s="290" t="s">
        <v>518</v>
      </c>
      <c r="K46" s="290" t="s">
        <v>524</v>
      </c>
      <c r="L46" s="310" t="s">
        <v>786</v>
      </c>
      <c r="M46" s="290" t="s">
        <v>530</v>
      </c>
      <c r="N46" s="290" t="s">
        <v>515</v>
      </c>
      <c r="O46" s="290" t="s">
        <v>527</v>
      </c>
    </row>
    <row r="47" spans="2:15" x14ac:dyDescent="0.35">
      <c r="B47" s="280"/>
      <c r="C47" s="37" t="s">
        <v>399</v>
      </c>
      <c r="D47" s="49">
        <v>376</v>
      </c>
      <c r="E47" s="50">
        <f>184745/D47</f>
        <v>491.343085106383</v>
      </c>
      <c r="F47" s="308"/>
      <c r="G47" s="308"/>
      <c r="H47" s="308"/>
      <c r="I47" s="308"/>
      <c r="J47" s="308"/>
      <c r="K47" s="308"/>
      <c r="L47" s="321"/>
      <c r="M47" s="308"/>
      <c r="N47" s="308"/>
      <c r="O47" s="308"/>
    </row>
    <row r="48" spans="2:15" x14ac:dyDescent="0.35">
      <c r="B48" s="280"/>
      <c r="C48" s="37">
        <v>2020</v>
      </c>
      <c r="D48" s="49" t="s">
        <v>522</v>
      </c>
      <c r="E48" s="49" t="s">
        <v>522</v>
      </c>
      <c r="F48" s="308"/>
      <c r="G48" s="308"/>
      <c r="H48" s="308"/>
      <c r="I48" s="308"/>
      <c r="J48" s="308"/>
      <c r="K48" s="308"/>
      <c r="L48" s="321"/>
      <c r="M48" s="308"/>
      <c r="N48" s="308"/>
      <c r="O48" s="308"/>
    </row>
    <row r="49" spans="2:15" x14ac:dyDescent="0.35">
      <c r="B49" s="280"/>
      <c r="C49" s="37">
        <v>2021</v>
      </c>
      <c r="D49" s="49" t="s">
        <v>522</v>
      </c>
      <c r="E49" s="49" t="s">
        <v>522</v>
      </c>
      <c r="F49" s="308"/>
      <c r="G49" s="308"/>
      <c r="H49" s="308"/>
      <c r="I49" s="308"/>
      <c r="J49" s="308"/>
      <c r="K49" s="308"/>
      <c r="L49" s="321"/>
      <c r="M49" s="308"/>
      <c r="N49" s="308"/>
      <c r="O49" s="308"/>
    </row>
    <row r="50" spans="2:15" x14ac:dyDescent="0.35">
      <c r="B50" s="280"/>
      <c r="C50" s="37">
        <v>2022</v>
      </c>
      <c r="D50" s="49" t="s">
        <v>522</v>
      </c>
      <c r="E50" s="49" t="s">
        <v>522</v>
      </c>
      <c r="F50" s="308"/>
      <c r="G50" s="308"/>
      <c r="H50" s="308"/>
      <c r="I50" s="308"/>
      <c r="J50" s="308"/>
      <c r="K50" s="308"/>
      <c r="L50" s="321"/>
      <c r="M50" s="308"/>
      <c r="N50" s="308"/>
      <c r="O50" s="308"/>
    </row>
    <row r="51" spans="2:15" ht="22" x14ac:dyDescent="0.35">
      <c r="B51" s="280"/>
      <c r="C51" s="37" t="s">
        <v>400</v>
      </c>
      <c r="D51" s="59" t="s">
        <v>522</v>
      </c>
      <c r="E51" s="59" t="s">
        <v>522</v>
      </c>
      <c r="F51" s="309"/>
      <c r="G51" s="309"/>
      <c r="H51" s="309"/>
      <c r="I51" s="309"/>
      <c r="J51" s="309"/>
      <c r="K51" s="309"/>
      <c r="L51" s="322"/>
      <c r="M51" s="309"/>
      <c r="N51" s="309"/>
      <c r="O51" s="309"/>
    </row>
    <row r="52" spans="2:15" ht="15" customHeight="1" x14ac:dyDescent="0.35">
      <c r="B52" s="280" t="s">
        <v>439</v>
      </c>
      <c r="C52" s="37" t="s">
        <v>398</v>
      </c>
      <c r="D52" s="49">
        <v>0</v>
      </c>
      <c r="E52" s="49">
        <v>0</v>
      </c>
      <c r="F52" s="290" t="s">
        <v>543</v>
      </c>
      <c r="G52" s="290" t="s">
        <v>51</v>
      </c>
      <c r="H52" s="290" t="s">
        <v>51</v>
      </c>
      <c r="I52" s="290" t="s">
        <v>51</v>
      </c>
      <c r="J52" s="290" t="s">
        <v>518</v>
      </c>
      <c r="K52" s="290" t="s">
        <v>524</v>
      </c>
      <c r="L52" s="310" t="s">
        <v>786</v>
      </c>
      <c r="M52" s="290" t="s">
        <v>530</v>
      </c>
      <c r="N52" s="290" t="s">
        <v>515</v>
      </c>
      <c r="O52" s="290" t="s">
        <v>527</v>
      </c>
    </row>
    <row r="53" spans="2:15" x14ac:dyDescent="0.35">
      <c r="B53" s="280"/>
      <c r="C53" s="37" t="s">
        <v>399</v>
      </c>
      <c r="D53" s="49">
        <v>548</v>
      </c>
      <c r="E53" s="50">
        <f>269255/D53</f>
        <v>491.34124087591243</v>
      </c>
      <c r="F53" s="308"/>
      <c r="G53" s="308"/>
      <c r="H53" s="308"/>
      <c r="I53" s="308"/>
      <c r="J53" s="308"/>
      <c r="K53" s="308"/>
      <c r="L53" s="321"/>
      <c r="M53" s="308"/>
      <c r="N53" s="308"/>
      <c r="O53" s="308"/>
    </row>
    <row r="54" spans="2:15" x14ac:dyDescent="0.35">
      <c r="B54" s="280"/>
      <c r="C54" s="37">
        <v>2020</v>
      </c>
      <c r="D54" s="49" t="s">
        <v>522</v>
      </c>
      <c r="E54" s="49" t="s">
        <v>522</v>
      </c>
      <c r="F54" s="308"/>
      <c r="G54" s="308"/>
      <c r="H54" s="308"/>
      <c r="I54" s="308"/>
      <c r="J54" s="308"/>
      <c r="K54" s="308"/>
      <c r="L54" s="321"/>
      <c r="M54" s="308"/>
      <c r="N54" s="308"/>
      <c r="O54" s="308"/>
    </row>
    <row r="55" spans="2:15" x14ac:dyDescent="0.35">
      <c r="B55" s="280"/>
      <c r="C55" s="37">
        <v>2021</v>
      </c>
      <c r="D55" s="49" t="s">
        <v>522</v>
      </c>
      <c r="E55" s="49" t="s">
        <v>522</v>
      </c>
      <c r="F55" s="308"/>
      <c r="G55" s="308"/>
      <c r="H55" s="308"/>
      <c r="I55" s="308"/>
      <c r="J55" s="308"/>
      <c r="K55" s="308"/>
      <c r="L55" s="321"/>
      <c r="M55" s="308"/>
      <c r="N55" s="308"/>
      <c r="O55" s="308"/>
    </row>
    <row r="56" spans="2:15" x14ac:dyDescent="0.35">
      <c r="B56" s="280"/>
      <c r="C56" s="37">
        <v>2022</v>
      </c>
      <c r="D56" s="49" t="s">
        <v>522</v>
      </c>
      <c r="E56" s="49" t="s">
        <v>522</v>
      </c>
      <c r="F56" s="308"/>
      <c r="G56" s="308"/>
      <c r="H56" s="308"/>
      <c r="I56" s="308"/>
      <c r="J56" s="308"/>
      <c r="K56" s="308"/>
      <c r="L56" s="321"/>
      <c r="M56" s="308"/>
      <c r="N56" s="308"/>
      <c r="O56" s="308"/>
    </row>
    <row r="57" spans="2:15" ht="22" x14ac:dyDescent="0.35">
      <c r="B57" s="280"/>
      <c r="C57" s="37" t="s">
        <v>400</v>
      </c>
      <c r="D57" s="59" t="s">
        <v>522</v>
      </c>
      <c r="E57" s="59" t="s">
        <v>522</v>
      </c>
      <c r="F57" s="309"/>
      <c r="G57" s="309"/>
      <c r="H57" s="309"/>
      <c r="I57" s="309"/>
      <c r="J57" s="309"/>
      <c r="K57" s="309"/>
      <c r="L57" s="322"/>
      <c r="M57" s="309"/>
      <c r="N57" s="309"/>
      <c r="O57" s="309"/>
    </row>
    <row r="58" spans="2:15" x14ac:dyDescent="0.35">
      <c r="B58" s="280" t="s">
        <v>440</v>
      </c>
      <c r="C58" s="37" t="s">
        <v>398</v>
      </c>
      <c r="D58" s="281" t="s">
        <v>510</v>
      </c>
      <c r="E58" s="313"/>
      <c r="F58" s="313"/>
      <c r="G58" s="313"/>
      <c r="H58" s="313"/>
      <c r="I58" s="313"/>
      <c r="J58" s="313"/>
      <c r="K58" s="313"/>
      <c r="L58" s="313"/>
      <c r="M58" s="313"/>
      <c r="N58" s="313"/>
      <c r="O58" s="314"/>
    </row>
    <row r="59" spans="2:15" x14ac:dyDescent="0.35">
      <c r="B59" s="280"/>
      <c r="C59" s="37" t="s">
        <v>399</v>
      </c>
      <c r="D59" s="315"/>
      <c r="E59" s="316"/>
      <c r="F59" s="316"/>
      <c r="G59" s="316"/>
      <c r="H59" s="316"/>
      <c r="I59" s="316"/>
      <c r="J59" s="316"/>
      <c r="K59" s="316"/>
      <c r="L59" s="316"/>
      <c r="M59" s="316"/>
      <c r="N59" s="316"/>
      <c r="O59" s="317"/>
    </row>
    <row r="60" spans="2:15" x14ac:dyDescent="0.35">
      <c r="B60" s="280"/>
      <c r="C60" s="37">
        <v>2020</v>
      </c>
      <c r="D60" s="315"/>
      <c r="E60" s="316"/>
      <c r="F60" s="316"/>
      <c r="G60" s="316"/>
      <c r="H60" s="316"/>
      <c r="I60" s="316"/>
      <c r="J60" s="316"/>
      <c r="K60" s="316"/>
      <c r="L60" s="316"/>
      <c r="M60" s="316"/>
      <c r="N60" s="316"/>
      <c r="O60" s="317"/>
    </row>
    <row r="61" spans="2:15" x14ac:dyDescent="0.35">
      <c r="B61" s="280"/>
      <c r="C61" s="37">
        <v>2021</v>
      </c>
      <c r="D61" s="315"/>
      <c r="E61" s="316"/>
      <c r="F61" s="316"/>
      <c r="G61" s="316"/>
      <c r="H61" s="316"/>
      <c r="I61" s="316"/>
      <c r="J61" s="316"/>
      <c r="K61" s="316"/>
      <c r="L61" s="316"/>
      <c r="M61" s="316"/>
      <c r="N61" s="316"/>
      <c r="O61" s="317"/>
    </row>
    <row r="62" spans="2:15" x14ac:dyDescent="0.35">
      <c r="B62" s="280"/>
      <c r="C62" s="37">
        <v>2022</v>
      </c>
      <c r="D62" s="315"/>
      <c r="E62" s="316"/>
      <c r="F62" s="316"/>
      <c r="G62" s="316"/>
      <c r="H62" s="316"/>
      <c r="I62" s="316"/>
      <c r="J62" s="316"/>
      <c r="K62" s="316"/>
      <c r="L62" s="316"/>
      <c r="M62" s="316"/>
      <c r="N62" s="316"/>
      <c r="O62" s="317"/>
    </row>
    <row r="63" spans="2:15" ht="22" x14ac:dyDescent="0.35">
      <c r="B63" s="280"/>
      <c r="C63" s="37" t="s">
        <v>400</v>
      </c>
      <c r="D63" s="318"/>
      <c r="E63" s="319"/>
      <c r="F63" s="319"/>
      <c r="G63" s="319"/>
      <c r="H63" s="319"/>
      <c r="I63" s="319"/>
      <c r="J63" s="319"/>
      <c r="K63" s="319"/>
      <c r="L63" s="319"/>
      <c r="M63" s="319"/>
      <c r="N63" s="319"/>
      <c r="O63" s="320"/>
    </row>
    <row r="64" spans="2:15" x14ac:dyDescent="0.35">
      <c r="B64" s="280" t="s">
        <v>441</v>
      </c>
      <c r="C64" s="37" t="s">
        <v>398</v>
      </c>
      <c r="D64" s="281" t="s">
        <v>519</v>
      </c>
      <c r="E64" s="313"/>
      <c r="F64" s="313"/>
      <c r="G64" s="313"/>
      <c r="H64" s="313"/>
      <c r="I64" s="313"/>
      <c r="J64" s="313"/>
      <c r="K64" s="313"/>
      <c r="L64" s="313"/>
      <c r="M64" s="313"/>
      <c r="N64" s="313"/>
      <c r="O64" s="314"/>
    </row>
    <row r="65" spans="2:15" x14ac:dyDescent="0.35">
      <c r="B65" s="280"/>
      <c r="C65" s="37" t="s">
        <v>399</v>
      </c>
      <c r="D65" s="315"/>
      <c r="E65" s="316"/>
      <c r="F65" s="316"/>
      <c r="G65" s="316"/>
      <c r="H65" s="316"/>
      <c r="I65" s="316"/>
      <c r="J65" s="316"/>
      <c r="K65" s="316"/>
      <c r="L65" s="316"/>
      <c r="M65" s="316"/>
      <c r="N65" s="316"/>
      <c r="O65" s="317"/>
    </row>
    <row r="66" spans="2:15" x14ac:dyDescent="0.35">
      <c r="B66" s="280"/>
      <c r="C66" s="37">
        <v>2020</v>
      </c>
      <c r="D66" s="315"/>
      <c r="E66" s="316"/>
      <c r="F66" s="316"/>
      <c r="G66" s="316"/>
      <c r="H66" s="316"/>
      <c r="I66" s="316"/>
      <c r="J66" s="316"/>
      <c r="K66" s="316"/>
      <c r="L66" s="316"/>
      <c r="M66" s="316"/>
      <c r="N66" s="316"/>
      <c r="O66" s="317"/>
    </row>
    <row r="67" spans="2:15" x14ac:dyDescent="0.35">
      <c r="B67" s="280"/>
      <c r="C67" s="37">
        <v>2021</v>
      </c>
      <c r="D67" s="315"/>
      <c r="E67" s="316"/>
      <c r="F67" s="316"/>
      <c r="G67" s="316"/>
      <c r="H67" s="316"/>
      <c r="I67" s="316"/>
      <c r="J67" s="316"/>
      <c r="K67" s="316"/>
      <c r="L67" s="316"/>
      <c r="M67" s="316"/>
      <c r="N67" s="316"/>
      <c r="O67" s="317"/>
    </row>
    <row r="68" spans="2:15" x14ac:dyDescent="0.35">
      <c r="B68" s="280"/>
      <c r="C68" s="37">
        <v>2022</v>
      </c>
      <c r="D68" s="315"/>
      <c r="E68" s="316"/>
      <c r="F68" s="316"/>
      <c r="G68" s="316"/>
      <c r="H68" s="316"/>
      <c r="I68" s="316"/>
      <c r="J68" s="316"/>
      <c r="K68" s="316"/>
      <c r="L68" s="316"/>
      <c r="M68" s="316"/>
      <c r="N68" s="316"/>
      <c r="O68" s="317"/>
    </row>
    <row r="69" spans="2:15" ht="22" x14ac:dyDescent="0.35">
      <c r="B69" s="280"/>
      <c r="C69" s="37" t="s">
        <v>400</v>
      </c>
      <c r="D69" s="318"/>
      <c r="E69" s="319"/>
      <c r="F69" s="319"/>
      <c r="G69" s="319"/>
      <c r="H69" s="319"/>
      <c r="I69" s="319"/>
      <c r="J69" s="319"/>
      <c r="K69" s="319"/>
      <c r="L69" s="319"/>
      <c r="M69" s="319"/>
      <c r="N69" s="319"/>
      <c r="O69" s="320"/>
    </row>
    <row r="70" spans="2:15" ht="15" customHeight="1" x14ac:dyDescent="0.35">
      <c r="B70" s="280" t="s">
        <v>545</v>
      </c>
      <c r="C70" s="37" t="s">
        <v>398</v>
      </c>
      <c r="D70" s="61">
        <v>2002</v>
      </c>
      <c r="E70" s="62">
        <f>323000/D70</f>
        <v>161.33866133866132</v>
      </c>
      <c r="F70" s="290" t="s">
        <v>543</v>
      </c>
      <c r="G70" s="290" t="s">
        <v>51</v>
      </c>
      <c r="H70" s="290" t="s">
        <v>51</v>
      </c>
      <c r="I70" s="290" t="s">
        <v>51</v>
      </c>
      <c r="J70" s="290" t="s">
        <v>514</v>
      </c>
      <c r="K70" s="290" t="s">
        <v>523</v>
      </c>
      <c r="L70" s="290" t="s">
        <v>51</v>
      </c>
      <c r="M70" s="290" t="s">
        <v>529</v>
      </c>
      <c r="N70" s="290" t="s">
        <v>515</v>
      </c>
      <c r="O70" s="290" t="s">
        <v>528</v>
      </c>
    </row>
    <row r="71" spans="2:15" x14ac:dyDescent="0.35">
      <c r="B71" s="280"/>
      <c r="C71" s="37" t="s">
        <v>399</v>
      </c>
      <c r="D71" s="61">
        <v>2002</v>
      </c>
      <c r="E71" s="62">
        <f>323000/D71</f>
        <v>161.33866133866132</v>
      </c>
      <c r="F71" s="308"/>
      <c r="G71" s="308"/>
      <c r="H71" s="308"/>
      <c r="I71" s="308"/>
      <c r="J71" s="308"/>
      <c r="K71" s="308"/>
      <c r="L71" s="308"/>
      <c r="M71" s="308"/>
      <c r="N71" s="308"/>
      <c r="O71" s="308"/>
    </row>
    <row r="72" spans="2:15" x14ac:dyDescent="0.35">
      <c r="B72" s="280"/>
      <c r="C72" s="37">
        <v>2020</v>
      </c>
      <c r="D72" s="61">
        <v>1941</v>
      </c>
      <c r="E72" s="62">
        <f>262000/D72</f>
        <v>134.9819680577022</v>
      </c>
      <c r="F72" s="308"/>
      <c r="G72" s="308"/>
      <c r="H72" s="308"/>
      <c r="I72" s="308"/>
      <c r="J72" s="308"/>
      <c r="K72" s="308"/>
      <c r="L72" s="308"/>
      <c r="M72" s="308"/>
      <c r="N72" s="308"/>
      <c r="O72" s="308"/>
    </row>
    <row r="73" spans="2:15" x14ac:dyDescent="0.35">
      <c r="B73" s="280"/>
      <c r="C73" s="37">
        <v>2021</v>
      </c>
      <c r="D73" s="59">
        <v>2018</v>
      </c>
      <c r="E73" s="62">
        <f t="shared" ref="E73:E74" si="3">262000/D73</f>
        <v>129.83151635282456</v>
      </c>
      <c r="F73" s="308"/>
      <c r="G73" s="308"/>
      <c r="H73" s="308"/>
      <c r="I73" s="308"/>
      <c r="J73" s="308"/>
      <c r="K73" s="308"/>
      <c r="L73" s="308"/>
      <c r="M73" s="308"/>
      <c r="N73" s="308"/>
      <c r="O73" s="308"/>
    </row>
    <row r="74" spans="2:15" x14ac:dyDescent="0.35">
      <c r="B74" s="280"/>
      <c r="C74" s="37">
        <v>2022</v>
      </c>
      <c r="D74" s="59">
        <v>1941</v>
      </c>
      <c r="E74" s="62">
        <f t="shared" si="3"/>
        <v>134.9819680577022</v>
      </c>
      <c r="F74" s="308"/>
      <c r="G74" s="308"/>
      <c r="H74" s="308"/>
      <c r="I74" s="308"/>
      <c r="J74" s="308"/>
      <c r="K74" s="308"/>
      <c r="L74" s="308"/>
      <c r="M74" s="308"/>
      <c r="N74" s="308"/>
      <c r="O74" s="308"/>
    </row>
    <row r="75" spans="2:15" ht="22" x14ac:dyDescent="0.35">
      <c r="B75" s="280"/>
      <c r="C75" s="37" t="s">
        <v>400</v>
      </c>
      <c r="D75" s="61">
        <f>D74+D73+D72</f>
        <v>5900</v>
      </c>
      <c r="E75" s="62">
        <f>((D72*E72)+(D73*E73)+(D74*E74))/D75</f>
        <v>133.22033898305082</v>
      </c>
      <c r="F75" s="309"/>
      <c r="G75" s="309"/>
      <c r="H75" s="309"/>
      <c r="I75" s="309"/>
      <c r="J75" s="309"/>
      <c r="K75" s="309"/>
      <c r="L75" s="309"/>
      <c r="M75" s="309"/>
      <c r="N75" s="309"/>
      <c r="O75" s="309"/>
    </row>
    <row r="76" spans="2:15" ht="15" customHeight="1" x14ac:dyDescent="0.35">
      <c r="B76" s="280" t="s">
        <v>536</v>
      </c>
      <c r="C76" s="37" t="s">
        <v>398</v>
      </c>
      <c r="D76" s="59">
        <v>681</v>
      </c>
      <c r="E76" s="62">
        <f>196000/D76</f>
        <v>287.8120411160059</v>
      </c>
      <c r="F76" s="290" t="s">
        <v>543</v>
      </c>
      <c r="G76" s="290" t="s">
        <v>51</v>
      </c>
      <c r="H76" s="290" t="s">
        <v>51</v>
      </c>
      <c r="I76" s="290" t="s">
        <v>51</v>
      </c>
      <c r="J76" s="290" t="s">
        <v>514</v>
      </c>
      <c r="K76" s="290" t="s">
        <v>523</v>
      </c>
      <c r="L76" s="290" t="s">
        <v>51</v>
      </c>
      <c r="M76" s="290" t="s">
        <v>529</v>
      </c>
      <c r="N76" s="290" t="s">
        <v>515</v>
      </c>
      <c r="O76" s="290" t="s">
        <v>517</v>
      </c>
    </row>
    <row r="77" spans="2:15" x14ac:dyDescent="0.35">
      <c r="B77" s="280"/>
      <c r="C77" s="37" t="s">
        <v>399</v>
      </c>
      <c r="D77" s="59">
        <v>681</v>
      </c>
      <c r="E77" s="62">
        <f>196000/D77</f>
        <v>287.8120411160059</v>
      </c>
      <c r="F77" s="308"/>
      <c r="G77" s="308"/>
      <c r="H77" s="308"/>
      <c r="I77" s="308"/>
      <c r="J77" s="308"/>
      <c r="K77" s="308"/>
      <c r="L77" s="308"/>
      <c r="M77" s="308"/>
      <c r="N77" s="308"/>
      <c r="O77" s="308"/>
    </row>
    <row r="78" spans="2:15" x14ac:dyDescent="0.35">
      <c r="B78" s="280"/>
      <c r="C78" s="37">
        <v>2020</v>
      </c>
      <c r="D78" s="59">
        <v>657</v>
      </c>
      <c r="E78" s="62">
        <f>196000/D78</f>
        <v>298.32572298325721</v>
      </c>
      <c r="F78" s="308"/>
      <c r="G78" s="308"/>
      <c r="H78" s="308"/>
      <c r="I78" s="308"/>
      <c r="J78" s="308"/>
      <c r="K78" s="308"/>
      <c r="L78" s="308"/>
      <c r="M78" s="308"/>
      <c r="N78" s="308"/>
      <c r="O78" s="308"/>
    </row>
    <row r="79" spans="2:15" x14ac:dyDescent="0.35">
      <c r="B79" s="280"/>
      <c r="C79" s="37">
        <v>2021</v>
      </c>
      <c r="D79" s="59">
        <v>767</v>
      </c>
      <c r="E79" s="62">
        <f t="shared" ref="E79:E80" si="4">196000/D79</f>
        <v>255.54106910039113</v>
      </c>
      <c r="F79" s="308"/>
      <c r="G79" s="308"/>
      <c r="H79" s="308"/>
      <c r="I79" s="308"/>
      <c r="J79" s="308"/>
      <c r="K79" s="308"/>
      <c r="L79" s="308"/>
      <c r="M79" s="308"/>
      <c r="N79" s="308"/>
      <c r="O79" s="308"/>
    </row>
    <row r="80" spans="2:15" x14ac:dyDescent="0.35">
      <c r="B80" s="280"/>
      <c r="C80" s="37">
        <v>2022</v>
      </c>
      <c r="D80" s="59">
        <v>767</v>
      </c>
      <c r="E80" s="62">
        <f t="shared" si="4"/>
        <v>255.54106910039113</v>
      </c>
      <c r="F80" s="308"/>
      <c r="G80" s="308"/>
      <c r="H80" s="308"/>
      <c r="I80" s="308"/>
      <c r="J80" s="308"/>
      <c r="K80" s="308"/>
      <c r="L80" s="308"/>
      <c r="M80" s="308"/>
      <c r="N80" s="308"/>
      <c r="O80" s="308"/>
    </row>
    <row r="81" spans="2:15" ht="22" x14ac:dyDescent="0.35">
      <c r="B81" s="280"/>
      <c r="C81" s="37" t="s">
        <v>400</v>
      </c>
      <c r="D81" s="61">
        <v>2191</v>
      </c>
      <c r="E81" s="62">
        <f>((D78*E78)+(D79*E79)+(D80*E80))/D81</f>
        <v>268.37060702875397</v>
      </c>
      <c r="F81" s="309"/>
      <c r="G81" s="309"/>
      <c r="H81" s="309"/>
      <c r="I81" s="309"/>
      <c r="J81" s="309"/>
      <c r="K81" s="309"/>
      <c r="L81" s="309"/>
      <c r="M81" s="309"/>
      <c r="N81" s="309"/>
      <c r="O81" s="309"/>
    </row>
    <row r="82" spans="2:15" ht="15" customHeight="1" x14ac:dyDescent="0.35">
      <c r="B82" s="280" t="s">
        <v>442</v>
      </c>
      <c r="C82" s="37" t="s">
        <v>398</v>
      </c>
      <c r="D82" s="281" t="s">
        <v>793</v>
      </c>
      <c r="E82" s="313"/>
      <c r="F82" s="313"/>
      <c r="G82" s="313"/>
      <c r="H82" s="313"/>
      <c r="I82" s="313"/>
      <c r="J82" s="313"/>
      <c r="K82" s="313"/>
      <c r="L82" s="313"/>
      <c r="M82" s="313"/>
      <c r="N82" s="313"/>
      <c r="O82" s="314"/>
    </row>
    <row r="83" spans="2:15" x14ac:dyDescent="0.35">
      <c r="B83" s="280"/>
      <c r="C83" s="37" t="s">
        <v>399</v>
      </c>
      <c r="D83" s="315"/>
      <c r="E83" s="316"/>
      <c r="F83" s="316"/>
      <c r="G83" s="316"/>
      <c r="H83" s="316"/>
      <c r="I83" s="316"/>
      <c r="J83" s="316"/>
      <c r="K83" s="316"/>
      <c r="L83" s="316"/>
      <c r="M83" s="316"/>
      <c r="N83" s="316"/>
      <c r="O83" s="317"/>
    </row>
    <row r="84" spans="2:15" x14ac:dyDescent="0.35">
      <c r="B84" s="280"/>
      <c r="C84" s="37">
        <v>2020</v>
      </c>
      <c r="D84" s="315"/>
      <c r="E84" s="316"/>
      <c r="F84" s="316"/>
      <c r="G84" s="316"/>
      <c r="H84" s="316"/>
      <c r="I84" s="316"/>
      <c r="J84" s="316"/>
      <c r="K84" s="316"/>
      <c r="L84" s="316"/>
      <c r="M84" s="316"/>
      <c r="N84" s="316"/>
      <c r="O84" s="317"/>
    </row>
    <row r="85" spans="2:15" x14ac:dyDescent="0.35">
      <c r="B85" s="280"/>
      <c r="C85" s="37">
        <v>2021</v>
      </c>
      <c r="D85" s="315"/>
      <c r="E85" s="316"/>
      <c r="F85" s="316"/>
      <c r="G85" s="316"/>
      <c r="H85" s="316"/>
      <c r="I85" s="316"/>
      <c r="J85" s="316"/>
      <c r="K85" s="316"/>
      <c r="L85" s="316"/>
      <c r="M85" s="316"/>
      <c r="N85" s="316"/>
      <c r="O85" s="317"/>
    </row>
    <row r="86" spans="2:15" x14ac:dyDescent="0.35">
      <c r="B86" s="280"/>
      <c r="C86" s="37">
        <v>2022</v>
      </c>
      <c r="D86" s="315"/>
      <c r="E86" s="316"/>
      <c r="F86" s="316"/>
      <c r="G86" s="316"/>
      <c r="H86" s="316"/>
      <c r="I86" s="316"/>
      <c r="J86" s="316"/>
      <c r="K86" s="316"/>
      <c r="L86" s="316"/>
      <c r="M86" s="316"/>
      <c r="N86" s="316"/>
      <c r="O86" s="317"/>
    </row>
    <row r="87" spans="2:15" ht="22" x14ac:dyDescent="0.35">
      <c r="B87" s="280"/>
      <c r="C87" s="37" t="s">
        <v>400</v>
      </c>
      <c r="D87" s="318"/>
      <c r="E87" s="319"/>
      <c r="F87" s="319"/>
      <c r="G87" s="319"/>
      <c r="H87" s="319"/>
      <c r="I87" s="319"/>
      <c r="J87" s="319"/>
      <c r="K87" s="319"/>
      <c r="L87" s="319"/>
      <c r="M87" s="319"/>
      <c r="N87" s="319"/>
      <c r="O87" s="320"/>
    </row>
    <row r="88" spans="2:15" ht="15" customHeight="1" x14ac:dyDescent="0.35">
      <c r="B88" s="323" t="s">
        <v>443</v>
      </c>
      <c r="C88" s="37" t="s">
        <v>398</v>
      </c>
      <c r="D88" s="290" t="s">
        <v>579</v>
      </c>
      <c r="E88" s="290" t="s">
        <v>579</v>
      </c>
      <c r="F88" s="290" t="s">
        <v>521</v>
      </c>
      <c r="G88" s="290" t="s">
        <v>51</v>
      </c>
      <c r="H88" s="290" t="s">
        <v>51</v>
      </c>
      <c r="I88" s="290" t="s">
        <v>51</v>
      </c>
      <c r="J88" s="290" t="s">
        <v>514</v>
      </c>
      <c r="K88" s="290" t="s">
        <v>51</v>
      </c>
      <c r="L88" s="290" t="s">
        <v>51</v>
      </c>
      <c r="M88" s="290" t="s">
        <v>51</v>
      </c>
      <c r="N88" s="290" t="s">
        <v>51</v>
      </c>
      <c r="O88" s="290" t="s">
        <v>554</v>
      </c>
    </row>
    <row r="89" spans="2:15" x14ac:dyDescent="0.35">
      <c r="B89" s="324"/>
      <c r="C89" s="37" t="s">
        <v>399</v>
      </c>
      <c r="D89" s="308"/>
      <c r="E89" s="308"/>
      <c r="F89" s="308"/>
      <c r="G89" s="308"/>
      <c r="H89" s="308"/>
      <c r="I89" s="308"/>
      <c r="J89" s="308"/>
      <c r="K89" s="308"/>
      <c r="L89" s="308"/>
      <c r="M89" s="308"/>
      <c r="N89" s="308"/>
      <c r="O89" s="308"/>
    </row>
    <row r="90" spans="2:15" x14ac:dyDescent="0.35">
      <c r="B90" s="324"/>
      <c r="C90" s="37">
        <v>2020</v>
      </c>
      <c r="D90" s="308"/>
      <c r="E90" s="308"/>
      <c r="F90" s="308"/>
      <c r="G90" s="308"/>
      <c r="H90" s="308"/>
      <c r="I90" s="308"/>
      <c r="J90" s="308"/>
      <c r="K90" s="308"/>
      <c r="L90" s="308"/>
      <c r="M90" s="308"/>
      <c r="N90" s="308"/>
      <c r="O90" s="308"/>
    </row>
    <row r="91" spans="2:15" x14ac:dyDescent="0.35">
      <c r="B91" s="324"/>
      <c r="C91" s="37">
        <v>2021</v>
      </c>
      <c r="D91" s="308"/>
      <c r="E91" s="308"/>
      <c r="F91" s="308"/>
      <c r="G91" s="308"/>
      <c r="H91" s="308"/>
      <c r="I91" s="308"/>
      <c r="J91" s="308"/>
      <c r="K91" s="308"/>
      <c r="L91" s="308"/>
      <c r="M91" s="308"/>
      <c r="N91" s="308"/>
      <c r="O91" s="308"/>
    </row>
    <row r="92" spans="2:15" x14ac:dyDescent="0.35">
      <c r="B92" s="324"/>
      <c r="C92" s="37">
        <v>2022</v>
      </c>
      <c r="D92" s="308"/>
      <c r="E92" s="308"/>
      <c r="F92" s="308"/>
      <c r="G92" s="308"/>
      <c r="H92" s="308"/>
      <c r="I92" s="308"/>
      <c r="J92" s="308"/>
      <c r="K92" s="308"/>
      <c r="L92" s="308"/>
      <c r="M92" s="308"/>
      <c r="N92" s="308"/>
      <c r="O92" s="308"/>
    </row>
    <row r="93" spans="2:15" ht="22" x14ac:dyDescent="0.35">
      <c r="B93" s="325"/>
      <c r="C93" s="37" t="s">
        <v>400</v>
      </c>
      <c r="D93" s="309"/>
      <c r="E93" s="309"/>
      <c r="F93" s="309"/>
      <c r="G93" s="309"/>
      <c r="H93" s="309"/>
      <c r="I93" s="309"/>
      <c r="J93" s="309"/>
      <c r="K93" s="309"/>
      <c r="L93" s="309"/>
      <c r="M93" s="309"/>
      <c r="N93" s="309"/>
      <c r="O93" s="309"/>
    </row>
    <row r="94" spans="2:15" ht="15" customHeight="1" x14ac:dyDescent="0.35">
      <c r="B94" s="280" t="s">
        <v>444</v>
      </c>
      <c r="C94" s="37" t="s">
        <v>398</v>
      </c>
      <c r="D94" s="49">
        <v>444</v>
      </c>
      <c r="E94" s="50">
        <f>180000/D94</f>
        <v>405.40540540540542</v>
      </c>
      <c r="F94" s="290" t="s">
        <v>543</v>
      </c>
      <c r="G94" s="290" t="s">
        <v>51</v>
      </c>
      <c r="H94" s="290" t="s">
        <v>51</v>
      </c>
      <c r="I94" s="290" t="s">
        <v>51</v>
      </c>
      <c r="J94" s="290" t="s">
        <v>514</v>
      </c>
      <c r="K94" s="290" t="s">
        <v>520</v>
      </c>
      <c r="L94" s="290" t="s">
        <v>51</v>
      </c>
      <c r="M94" s="290" t="s">
        <v>529</v>
      </c>
      <c r="N94" s="290" t="s">
        <v>520</v>
      </c>
      <c r="O94" s="290" t="s">
        <v>544</v>
      </c>
    </row>
    <row r="95" spans="2:15" x14ac:dyDescent="0.35">
      <c r="B95" s="280"/>
      <c r="C95" s="37" t="s">
        <v>399</v>
      </c>
      <c r="D95" s="49">
        <v>439</v>
      </c>
      <c r="E95" s="50">
        <f>172902.37/D95</f>
        <v>393.8550569476082</v>
      </c>
      <c r="F95" s="308"/>
      <c r="G95" s="308"/>
      <c r="H95" s="308"/>
      <c r="I95" s="308"/>
      <c r="J95" s="308"/>
      <c r="K95" s="308"/>
      <c r="L95" s="308"/>
      <c r="M95" s="308"/>
      <c r="N95" s="308"/>
      <c r="O95" s="308"/>
    </row>
    <row r="96" spans="2:15" x14ac:dyDescent="0.35">
      <c r="B96" s="280"/>
      <c r="C96" s="37">
        <v>2020</v>
      </c>
      <c r="D96" s="49">
        <v>444</v>
      </c>
      <c r="E96" s="50">
        <v>400</v>
      </c>
      <c r="F96" s="308"/>
      <c r="G96" s="308"/>
      <c r="H96" s="308"/>
      <c r="I96" s="308"/>
      <c r="J96" s="308"/>
      <c r="K96" s="308"/>
      <c r="L96" s="308"/>
      <c r="M96" s="308"/>
      <c r="N96" s="308"/>
      <c r="O96" s="308"/>
    </row>
    <row r="97" spans="2:15" x14ac:dyDescent="0.35">
      <c r="B97" s="280"/>
      <c r="C97" s="37">
        <v>2021</v>
      </c>
      <c r="D97" s="49">
        <v>444</v>
      </c>
      <c r="E97" s="50">
        <v>400</v>
      </c>
      <c r="F97" s="308"/>
      <c r="G97" s="308"/>
      <c r="H97" s="308"/>
      <c r="I97" s="308"/>
      <c r="J97" s="308"/>
      <c r="K97" s="308"/>
      <c r="L97" s="308"/>
      <c r="M97" s="308"/>
      <c r="N97" s="308"/>
      <c r="O97" s="308"/>
    </row>
    <row r="98" spans="2:15" x14ac:dyDescent="0.35">
      <c r="B98" s="280"/>
      <c r="C98" s="37">
        <v>2022</v>
      </c>
      <c r="D98" s="49">
        <v>444</v>
      </c>
      <c r="E98" s="50">
        <v>400</v>
      </c>
      <c r="F98" s="308"/>
      <c r="G98" s="308"/>
      <c r="H98" s="308"/>
      <c r="I98" s="308"/>
      <c r="J98" s="308"/>
      <c r="K98" s="308"/>
      <c r="L98" s="308"/>
      <c r="M98" s="308"/>
      <c r="N98" s="308"/>
      <c r="O98" s="308"/>
    </row>
    <row r="99" spans="2:15" ht="22" x14ac:dyDescent="0.35">
      <c r="B99" s="280"/>
      <c r="C99" s="37" t="s">
        <v>400</v>
      </c>
      <c r="D99" s="61">
        <f>D96+D97+D98</f>
        <v>1332</v>
      </c>
      <c r="E99" s="62">
        <v>400</v>
      </c>
      <c r="F99" s="309"/>
      <c r="G99" s="309"/>
      <c r="H99" s="309"/>
      <c r="I99" s="309"/>
      <c r="J99" s="309"/>
      <c r="K99" s="309"/>
      <c r="L99" s="309"/>
      <c r="M99" s="309"/>
      <c r="N99" s="309"/>
      <c r="O99" s="309"/>
    </row>
    <row r="100" spans="2:15" ht="15" customHeight="1" x14ac:dyDescent="0.35">
      <c r="B100" s="280" t="s">
        <v>445</v>
      </c>
      <c r="C100" s="37" t="s">
        <v>398</v>
      </c>
      <c r="D100" s="281" t="s">
        <v>794</v>
      </c>
      <c r="E100" s="313"/>
      <c r="F100" s="313"/>
      <c r="G100" s="313"/>
      <c r="H100" s="313"/>
      <c r="I100" s="313"/>
      <c r="J100" s="313"/>
      <c r="K100" s="313"/>
      <c r="L100" s="313"/>
      <c r="M100" s="313"/>
      <c r="N100" s="313"/>
      <c r="O100" s="314"/>
    </row>
    <row r="101" spans="2:15" x14ac:dyDescent="0.35">
      <c r="B101" s="280"/>
      <c r="C101" s="37" t="s">
        <v>399</v>
      </c>
      <c r="D101" s="315"/>
      <c r="E101" s="316"/>
      <c r="F101" s="316"/>
      <c r="G101" s="316"/>
      <c r="H101" s="316"/>
      <c r="I101" s="316"/>
      <c r="J101" s="316"/>
      <c r="K101" s="316"/>
      <c r="L101" s="316"/>
      <c r="M101" s="316"/>
      <c r="N101" s="316"/>
      <c r="O101" s="317"/>
    </row>
    <row r="102" spans="2:15" x14ac:dyDescent="0.35">
      <c r="B102" s="280"/>
      <c r="C102" s="37">
        <v>2020</v>
      </c>
      <c r="D102" s="315"/>
      <c r="E102" s="316"/>
      <c r="F102" s="316"/>
      <c r="G102" s="316"/>
      <c r="H102" s="316"/>
      <c r="I102" s="316"/>
      <c r="J102" s="316"/>
      <c r="K102" s="316"/>
      <c r="L102" s="316"/>
      <c r="M102" s="316"/>
      <c r="N102" s="316"/>
      <c r="O102" s="317"/>
    </row>
    <row r="103" spans="2:15" x14ac:dyDescent="0.35">
      <c r="B103" s="280"/>
      <c r="C103" s="37">
        <v>2021</v>
      </c>
      <c r="D103" s="315"/>
      <c r="E103" s="316"/>
      <c r="F103" s="316"/>
      <c r="G103" s="316"/>
      <c r="H103" s="316"/>
      <c r="I103" s="316"/>
      <c r="J103" s="316"/>
      <c r="K103" s="316"/>
      <c r="L103" s="316"/>
      <c r="M103" s="316"/>
      <c r="N103" s="316"/>
      <c r="O103" s="317"/>
    </row>
    <row r="104" spans="2:15" x14ac:dyDescent="0.35">
      <c r="B104" s="280"/>
      <c r="C104" s="37">
        <v>2022</v>
      </c>
      <c r="D104" s="315"/>
      <c r="E104" s="316"/>
      <c r="F104" s="316"/>
      <c r="G104" s="316"/>
      <c r="H104" s="316"/>
      <c r="I104" s="316"/>
      <c r="J104" s="316"/>
      <c r="K104" s="316"/>
      <c r="L104" s="316"/>
      <c r="M104" s="316"/>
      <c r="N104" s="316"/>
      <c r="O104" s="317"/>
    </row>
    <row r="105" spans="2:15" ht="22" x14ac:dyDescent="0.35">
      <c r="B105" s="280"/>
      <c r="C105" s="37" t="s">
        <v>400</v>
      </c>
      <c r="D105" s="318"/>
      <c r="E105" s="319"/>
      <c r="F105" s="319"/>
      <c r="G105" s="319"/>
      <c r="H105" s="319"/>
      <c r="I105" s="319"/>
      <c r="J105" s="319"/>
      <c r="K105" s="319"/>
      <c r="L105" s="319"/>
      <c r="M105" s="319"/>
      <c r="N105" s="319"/>
      <c r="O105" s="320"/>
    </row>
  </sheetData>
  <mergeCells count="135">
    <mergeCell ref="N88:N93"/>
    <mergeCell ref="L40:L45"/>
    <mergeCell ref="L76:L81"/>
    <mergeCell ref="O52:O57"/>
    <mergeCell ref="M70:M75"/>
    <mergeCell ref="N70:N75"/>
    <mergeCell ref="O70:O75"/>
    <mergeCell ref="F94:F99"/>
    <mergeCell ref="I94:I99"/>
    <mergeCell ref="F40:F45"/>
    <mergeCell ref="I40:I45"/>
    <mergeCell ref="I88:I93"/>
    <mergeCell ref="I46:I51"/>
    <mergeCell ref="I52:I57"/>
    <mergeCell ref="I70:I75"/>
    <mergeCell ref="I76:I81"/>
    <mergeCell ref="B100:B105"/>
    <mergeCell ref="B82:B87"/>
    <mergeCell ref="B88:B93"/>
    <mergeCell ref="B94:B99"/>
    <mergeCell ref="D82:O87"/>
    <mergeCell ref="D100:O105"/>
    <mergeCell ref="G94:G99"/>
    <mergeCell ref="H94:H99"/>
    <mergeCell ref="G88:G93"/>
    <mergeCell ref="H88:H93"/>
    <mergeCell ref="O94:O99"/>
    <mergeCell ref="J88:J93"/>
    <mergeCell ref="J94:J99"/>
    <mergeCell ref="K94:K99"/>
    <mergeCell ref="L94:L99"/>
    <mergeCell ref="M94:M99"/>
    <mergeCell ref="N94:N99"/>
    <mergeCell ref="D88:D93"/>
    <mergeCell ref="E88:E93"/>
    <mergeCell ref="F88:F93"/>
    <mergeCell ref="O88:O93"/>
    <mergeCell ref="K88:K93"/>
    <mergeCell ref="L88:L93"/>
    <mergeCell ref="M88:M93"/>
    <mergeCell ref="F52:F57"/>
    <mergeCell ref="B64:B69"/>
    <mergeCell ref="B70:B75"/>
    <mergeCell ref="B76:B81"/>
    <mergeCell ref="D64:O69"/>
    <mergeCell ref="G70:G75"/>
    <mergeCell ref="H70:H75"/>
    <mergeCell ref="G76:G81"/>
    <mergeCell ref="H76:H81"/>
    <mergeCell ref="J70:J75"/>
    <mergeCell ref="K70:K75"/>
    <mergeCell ref="L70:L75"/>
    <mergeCell ref="J76:J81"/>
    <mergeCell ref="K76:K81"/>
    <mergeCell ref="M76:M81"/>
    <mergeCell ref="N76:N81"/>
    <mergeCell ref="O76:O81"/>
    <mergeCell ref="F70:F75"/>
    <mergeCell ref="F76:F81"/>
    <mergeCell ref="N40:N45"/>
    <mergeCell ref="N34:N39"/>
    <mergeCell ref="M40:M45"/>
    <mergeCell ref="O40:O45"/>
    <mergeCell ref="B46:B51"/>
    <mergeCell ref="B52:B57"/>
    <mergeCell ref="B58:B63"/>
    <mergeCell ref="G46:G51"/>
    <mergeCell ref="H46:H51"/>
    <mergeCell ref="G52:G57"/>
    <mergeCell ref="H52:H57"/>
    <mergeCell ref="J46:J51"/>
    <mergeCell ref="J52:J57"/>
    <mergeCell ref="D58:O63"/>
    <mergeCell ref="K46:K51"/>
    <mergeCell ref="K52:K57"/>
    <mergeCell ref="O46:O51"/>
    <mergeCell ref="L46:L51"/>
    <mergeCell ref="L52:L57"/>
    <mergeCell ref="N46:N51"/>
    <mergeCell ref="N52:N57"/>
    <mergeCell ref="M46:M51"/>
    <mergeCell ref="M52:M57"/>
    <mergeCell ref="F46:F51"/>
    <mergeCell ref="B40:B45"/>
    <mergeCell ref="G34:G39"/>
    <mergeCell ref="H34:H39"/>
    <mergeCell ref="J34:J39"/>
    <mergeCell ref="G40:G45"/>
    <mergeCell ref="H40:H45"/>
    <mergeCell ref="J40:J45"/>
    <mergeCell ref="K40:K45"/>
    <mergeCell ref="M34:M39"/>
    <mergeCell ref="L34:L39"/>
    <mergeCell ref="K34:K39"/>
    <mergeCell ref="F34:F39"/>
    <mergeCell ref="I34:I39"/>
    <mergeCell ref="L10:L15"/>
    <mergeCell ref="M10:M15"/>
    <mergeCell ref="N10:N15"/>
    <mergeCell ref="O10:O15"/>
    <mergeCell ref="G16:G21"/>
    <mergeCell ref="H16:H21"/>
    <mergeCell ref="G22:G27"/>
    <mergeCell ref="D28:O33"/>
    <mergeCell ref="B34:B39"/>
    <mergeCell ref="O34:O39"/>
    <mergeCell ref="D22:D27"/>
    <mergeCell ref="E22:E27"/>
    <mergeCell ref="F10:F15"/>
    <mergeCell ref="I10:I15"/>
    <mergeCell ref="F16:F21"/>
    <mergeCell ref="F22:F27"/>
    <mergeCell ref="I16:I21"/>
    <mergeCell ref="I22:I27"/>
    <mergeCell ref="B10:B15"/>
    <mergeCell ref="B28:B33"/>
    <mergeCell ref="J16:J21"/>
    <mergeCell ref="K16:K21"/>
    <mergeCell ref="J22:J27"/>
    <mergeCell ref="K22:K27"/>
    <mergeCell ref="B16:B21"/>
    <mergeCell ref="B22:B27"/>
    <mergeCell ref="G10:G15"/>
    <mergeCell ref="H10:H15"/>
    <mergeCell ref="J10:J15"/>
    <mergeCell ref="K10:K15"/>
    <mergeCell ref="L16:L21"/>
    <mergeCell ref="M16:M21"/>
    <mergeCell ref="N16:N21"/>
    <mergeCell ref="O16:O21"/>
    <mergeCell ref="L22:L27"/>
    <mergeCell ref="M22:M27"/>
    <mergeCell ref="N22:N27"/>
    <mergeCell ref="O22:O27"/>
    <mergeCell ref="H22:H2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C147"/>
  <sheetViews>
    <sheetView zoomScaleNormal="100" workbookViewId="0">
      <selection activeCell="S9" sqref="S9"/>
    </sheetView>
  </sheetViews>
  <sheetFormatPr defaultRowHeight="14.5" x14ac:dyDescent="0.35"/>
  <cols>
    <col min="1" max="1" width="9.1796875" style="40"/>
    <col min="2" max="2" width="17.54296875" customWidth="1"/>
    <col min="3" max="3" width="12.7265625" customWidth="1"/>
    <col min="5" max="5" width="10" bestFit="1" customWidth="1"/>
    <col min="16" max="55" width="9.1796875" style="40"/>
  </cols>
  <sheetData>
    <row r="1" spans="1:16" s="40" customFormat="1" ht="26" x14ac:dyDescent="0.6">
      <c r="A1" s="42" t="s">
        <v>125</v>
      </c>
    </row>
    <row r="2" spans="1:16" s="40" customFormat="1" x14ac:dyDescent="0.35">
      <c r="A2" s="40" t="s">
        <v>0</v>
      </c>
      <c r="B2" s="43" t="s">
        <v>78</v>
      </c>
      <c r="C2" s="40" t="s">
        <v>409</v>
      </c>
    </row>
    <row r="3" spans="1:16" s="40" customFormat="1" x14ac:dyDescent="0.35">
      <c r="A3" s="44" t="s">
        <v>76</v>
      </c>
      <c r="B3" s="43">
        <v>25</v>
      </c>
      <c r="C3" s="40" t="s">
        <v>446</v>
      </c>
    </row>
    <row r="4" spans="1:16" s="40" customFormat="1" x14ac:dyDescent="0.35"/>
    <row r="5" spans="1:16" s="40" customFormat="1" x14ac:dyDescent="0.35"/>
    <row r="6" spans="1:16" s="40" customFormat="1" x14ac:dyDescent="0.35"/>
    <row r="7" spans="1:16" s="40" customFormat="1" x14ac:dyDescent="0.35"/>
    <row r="8" spans="1:16" s="40" customFormat="1" x14ac:dyDescent="0.35"/>
    <row r="9" spans="1:16" ht="68" x14ac:dyDescent="0.35">
      <c r="A9" s="46"/>
      <c r="B9" s="36" t="s">
        <v>385</v>
      </c>
      <c r="C9" s="36" t="s">
        <v>386</v>
      </c>
      <c r="D9" s="36" t="s">
        <v>387</v>
      </c>
      <c r="E9" s="36" t="s">
        <v>388</v>
      </c>
      <c r="F9" s="36" t="s">
        <v>417</v>
      </c>
      <c r="G9" s="36" t="s">
        <v>390</v>
      </c>
      <c r="H9" s="36" t="s">
        <v>391</v>
      </c>
      <c r="I9" s="36" t="s">
        <v>392</v>
      </c>
      <c r="J9" s="36" t="s">
        <v>393</v>
      </c>
      <c r="K9" s="36" t="s">
        <v>416</v>
      </c>
      <c r="L9" s="36" t="s">
        <v>395</v>
      </c>
      <c r="M9" s="36" t="s">
        <v>396</v>
      </c>
      <c r="N9" s="36" t="s">
        <v>397</v>
      </c>
      <c r="O9" s="36" t="s">
        <v>113</v>
      </c>
      <c r="P9" s="46"/>
    </row>
    <row r="10" spans="1:16" x14ac:dyDescent="0.35">
      <c r="B10" s="280" t="s">
        <v>447</v>
      </c>
      <c r="C10" s="37" t="s">
        <v>398</v>
      </c>
      <c r="D10" s="281" t="s">
        <v>795</v>
      </c>
      <c r="E10" s="313"/>
      <c r="F10" s="313"/>
      <c r="G10" s="313"/>
      <c r="H10" s="313"/>
      <c r="I10" s="313"/>
      <c r="J10" s="313"/>
      <c r="K10" s="313"/>
      <c r="L10" s="313"/>
      <c r="M10" s="313"/>
      <c r="N10" s="313"/>
      <c r="O10" s="314"/>
      <c r="P10" s="47"/>
    </row>
    <row r="11" spans="1:16" x14ac:dyDescent="0.35">
      <c r="B11" s="280"/>
      <c r="C11" s="37" t="s">
        <v>399</v>
      </c>
      <c r="D11" s="315"/>
      <c r="E11" s="316"/>
      <c r="F11" s="316"/>
      <c r="G11" s="316"/>
      <c r="H11" s="316"/>
      <c r="I11" s="316"/>
      <c r="J11" s="316"/>
      <c r="K11" s="316"/>
      <c r="L11" s="316"/>
      <c r="M11" s="316"/>
      <c r="N11" s="316"/>
      <c r="O11" s="317"/>
      <c r="P11" s="47"/>
    </row>
    <row r="12" spans="1:16" x14ac:dyDescent="0.35">
      <c r="B12" s="280"/>
      <c r="C12" s="37">
        <v>2020</v>
      </c>
      <c r="D12" s="315"/>
      <c r="E12" s="316"/>
      <c r="F12" s="316"/>
      <c r="G12" s="316"/>
      <c r="H12" s="316"/>
      <c r="I12" s="316"/>
      <c r="J12" s="316"/>
      <c r="K12" s="316"/>
      <c r="L12" s="316"/>
      <c r="M12" s="316"/>
      <c r="N12" s="316"/>
      <c r="O12" s="317"/>
      <c r="P12" s="47"/>
    </row>
    <row r="13" spans="1:16" x14ac:dyDescent="0.35">
      <c r="B13" s="280"/>
      <c r="C13" s="37">
        <v>2021</v>
      </c>
      <c r="D13" s="315"/>
      <c r="E13" s="316"/>
      <c r="F13" s="316"/>
      <c r="G13" s="316"/>
      <c r="H13" s="316"/>
      <c r="I13" s="316"/>
      <c r="J13" s="316"/>
      <c r="K13" s="316"/>
      <c r="L13" s="316"/>
      <c r="M13" s="316"/>
      <c r="N13" s="316"/>
      <c r="O13" s="317"/>
      <c r="P13" s="47"/>
    </row>
    <row r="14" spans="1:16" x14ac:dyDescent="0.35">
      <c r="B14" s="280"/>
      <c r="C14" s="37">
        <v>2022</v>
      </c>
      <c r="D14" s="315"/>
      <c r="E14" s="316"/>
      <c r="F14" s="316"/>
      <c r="G14" s="316"/>
      <c r="H14" s="316"/>
      <c r="I14" s="316"/>
      <c r="J14" s="316"/>
      <c r="K14" s="316"/>
      <c r="L14" s="316"/>
      <c r="M14" s="316"/>
      <c r="N14" s="316"/>
      <c r="O14" s="317"/>
      <c r="P14" s="47"/>
    </row>
    <row r="15" spans="1:16" ht="22" x14ac:dyDescent="0.35">
      <c r="B15" s="280"/>
      <c r="C15" s="37" t="s">
        <v>400</v>
      </c>
      <c r="D15" s="318"/>
      <c r="E15" s="319"/>
      <c r="F15" s="319"/>
      <c r="G15" s="319"/>
      <c r="H15" s="319"/>
      <c r="I15" s="319"/>
      <c r="J15" s="319"/>
      <c r="K15" s="319"/>
      <c r="L15" s="319"/>
      <c r="M15" s="319"/>
      <c r="N15" s="319"/>
      <c r="O15" s="320"/>
      <c r="P15" s="47"/>
    </row>
    <row r="16" spans="1:16" ht="15" customHeight="1" x14ac:dyDescent="0.35">
      <c r="B16" s="280" t="s">
        <v>448</v>
      </c>
      <c r="C16" s="37" t="s">
        <v>398</v>
      </c>
      <c r="D16" s="49" t="s">
        <v>51</v>
      </c>
      <c r="E16" s="49" t="s">
        <v>51</v>
      </c>
      <c r="F16" s="290" t="s">
        <v>102</v>
      </c>
      <c r="G16" s="290" t="s">
        <v>51</v>
      </c>
      <c r="H16" s="290" t="s">
        <v>51</v>
      </c>
      <c r="I16" s="290" t="s">
        <v>586</v>
      </c>
      <c r="J16" s="290" t="s">
        <v>514</v>
      </c>
      <c r="K16" s="290" t="s">
        <v>573</v>
      </c>
      <c r="L16" s="290" t="s">
        <v>51</v>
      </c>
      <c r="M16" s="290" t="s">
        <v>529</v>
      </c>
      <c r="N16" s="290" t="s">
        <v>571</v>
      </c>
      <c r="O16" s="290" t="s">
        <v>517</v>
      </c>
      <c r="P16" s="47"/>
    </row>
    <row r="17" spans="2:16" x14ac:dyDescent="0.35">
      <c r="B17" s="280"/>
      <c r="C17" s="37" t="s">
        <v>399</v>
      </c>
      <c r="D17" s="49">
        <v>825</v>
      </c>
      <c r="E17" s="50">
        <f>1637259.3/D17</f>
        <v>1984.5567272727274</v>
      </c>
      <c r="F17" s="308"/>
      <c r="G17" s="308"/>
      <c r="H17" s="308"/>
      <c r="I17" s="308"/>
      <c r="J17" s="308"/>
      <c r="K17" s="308"/>
      <c r="L17" s="308"/>
      <c r="M17" s="308"/>
      <c r="N17" s="308"/>
      <c r="O17" s="308"/>
      <c r="P17" s="47"/>
    </row>
    <row r="18" spans="2:16" x14ac:dyDescent="0.35">
      <c r="B18" s="280"/>
      <c r="C18" s="37">
        <v>2020</v>
      </c>
      <c r="D18" s="49">
        <v>825</v>
      </c>
      <c r="E18" s="50">
        <f>1422792/D18</f>
        <v>1724.5963636363635</v>
      </c>
      <c r="F18" s="308"/>
      <c r="G18" s="308"/>
      <c r="H18" s="308"/>
      <c r="I18" s="308"/>
      <c r="J18" s="308"/>
      <c r="K18" s="308"/>
      <c r="L18" s="308"/>
      <c r="M18" s="308"/>
      <c r="N18" s="308"/>
      <c r="O18" s="308"/>
      <c r="P18" s="47"/>
    </row>
    <row r="19" spans="2:16" x14ac:dyDescent="0.35">
      <c r="B19" s="280"/>
      <c r="C19" s="37">
        <v>2021</v>
      </c>
      <c r="D19" s="49">
        <v>825</v>
      </c>
      <c r="E19" s="50">
        <f>1422792/D19</f>
        <v>1724.5963636363635</v>
      </c>
      <c r="F19" s="308"/>
      <c r="G19" s="308"/>
      <c r="H19" s="308"/>
      <c r="I19" s="308"/>
      <c r="J19" s="308"/>
      <c r="K19" s="308"/>
      <c r="L19" s="308"/>
      <c r="M19" s="308"/>
      <c r="N19" s="308"/>
      <c r="O19" s="308"/>
      <c r="P19" s="47"/>
    </row>
    <row r="20" spans="2:16" x14ac:dyDescent="0.35">
      <c r="B20" s="280"/>
      <c r="C20" s="37">
        <v>2022</v>
      </c>
      <c r="D20" s="49">
        <v>825</v>
      </c>
      <c r="E20" s="50">
        <f>1422792/D20</f>
        <v>1724.5963636363635</v>
      </c>
      <c r="F20" s="308"/>
      <c r="G20" s="308"/>
      <c r="H20" s="308"/>
      <c r="I20" s="308"/>
      <c r="J20" s="308"/>
      <c r="K20" s="308"/>
      <c r="L20" s="308"/>
      <c r="M20" s="308"/>
      <c r="N20" s="308"/>
      <c r="O20" s="308"/>
      <c r="P20" s="47"/>
    </row>
    <row r="21" spans="2:16" ht="22" x14ac:dyDescent="0.35">
      <c r="B21" s="280"/>
      <c r="C21" s="37" t="s">
        <v>400</v>
      </c>
      <c r="D21" s="49">
        <f>SUM(D18:D20)</f>
        <v>2475</v>
      </c>
      <c r="E21" s="62">
        <f>((D18*E18)+(D19*E19)+(D20*E20))/D21</f>
        <v>1724.5963636363635</v>
      </c>
      <c r="F21" s="309"/>
      <c r="G21" s="309"/>
      <c r="H21" s="309"/>
      <c r="I21" s="309"/>
      <c r="J21" s="309"/>
      <c r="K21" s="309"/>
      <c r="L21" s="309"/>
      <c r="M21" s="309"/>
      <c r="N21" s="309"/>
      <c r="O21" s="309"/>
      <c r="P21" s="47"/>
    </row>
    <row r="22" spans="2:16" ht="15" customHeight="1" x14ac:dyDescent="0.35">
      <c r="B22" s="280" t="s">
        <v>582</v>
      </c>
      <c r="C22" s="37" t="s">
        <v>398</v>
      </c>
      <c r="D22" s="49" t="s">
        <v>51</v>
      </c>
      <c r="E22" s="49" t="s">
        <v>51</v>
      </c>
      <c r="F22" s="290" t="s">
        <v>102</v>
      </c>
      <c r="G22" s="290" t="s">
        <v>51</v>
      </c>
      <c r="H22" s="290" t="s">
        <v>51</v>
      </c>
      <c r="I22" s="290" t="s">
        <v>586</v>
      </c>
      <c r="J22" s="290" t="s">
        <v>514</v>
      </c>
      <c r="K22" s="290" t="s">
        <v>573</v>
      </c>
      <c r="L22" s="290" t="s">
        <v>51</v>
      </c>
      <c r="M22" s="290" t="s">
        <v>529</v>
      </c>
      <c r="N22" s="290" t="s">
        <v>571</v>
      </c>
      <c r="O22" s="290" t="s">
        <v>517</v>
      </c>
      <c r="P22" s="47"/>
    </row>
    <row r="23" spans="2:16" x14ac:dyDescent="0.35">
      <c r="B23" s="280"/>
      <c r="C23" s="37" t="s">
        <v>399</v>
      </c>
      <c r="D23" s="59">
        <v>345</v>
      </c>
      <c r="E23" s="63">
        <f>1151854.96/D23</f>
        <v>3338.7100289855071</v>
      </c>
      <c r="F23" s="308"/>
      <c r="G23" s="308"/>
      <c r="H23" s="308"/>
      <c r="I23" s="308"/>
      <c r="J23" s="308"/>
      <c r="K23" s="308"/>
      <c r="L23" s="308"/>
      <c r="M23" s="308"/>
      <c r="N23" s="308"/>
      <c r="O23" s="308"/>
      <c r="P23" s="47"/>
    </row>
    <row r="24" spans="2:16" x14ac:dyDescent="0.35">
      <c r="B24" s="280"/>
      <c r="C24" s="37">
        <v>2020</v>
      </c>
      <c r="D24" s="59">
        <v>345</v>
      </c>
      <c r="E24" s="63">
        <f>723897/D24</f>
        <v>2098.2521739130434</v>
      </c>
      <c r="F24" s="308"/>
      <c r="G24" s="308"/>
      <c r="H24" s="308"/>
      <c r="I24" s="308"/>
      <c r="J24" s="308"/>
      <c r="K24" s="308"/>
      <c r="L24" s="308"/>
      <c r="M24" s="308"/>
      <c r="N24" s="308"/>
      <c r="O24" s="308"/>
      <c r="P24" s="47"/>
    </row>
    <row r="25" spans="2:16" x14ac:dyDescent="0.35">
      <c r="B25" s="280"/>
      <c r="C25" s="37">
        <v>2021</v>
      </c>
      <c r="D25" s="59">
        <v>345</v>
      </c>
      <c r="E25" s="63">
        <f t="shared" ref="E25:E26" si="0">723897/D25</f>
        <v>2098.2521739130434</v>
      </c>
      <c r="F25" s="308"/>
      <c r="G25" s="308"/>
      <c r="H25" s="308"/>
      <c r="I25" s="308"/>
      <c r="J25" s="308"/>
      <c r="K25" s="308"/>
      <c r="L25" s="308"/>
      <c r="M25" s="308"/>
      <c r="N25" s="308"/>
      <c r="O25" s="308"/>
      <c r="P25" s="47"/>
    </row>
    <row r="26" spans="2:16" x14ac:dyDescent="0.35">
      <c r="B26" s="280"/>
      <c r="C26" s="37">
        <v>2022</v>
      </c>
      <c r="D26" s="59">
        <v>345</v>
      </c>
      <c r="E26" s="63">
        <f t="shared" si="0"/>
        <v>2098.2521739130434</v>
      </c>
      <c r="F26" s="308"/>
      <c r="G26" s="308"/>
      <c r="H26" s="308"/>
      <c r="I26" s="308"/>
      <c r="J26" s="308"/>
      <c r="K26" s="308"/>
      <c r="L26" s="308"/>
      <c r="M26" s="308"/>
      <c r="N26" s="308"/>
      <c r="O26" s="308"/>
      <c r="P26" s="47"/>
    </row>
    <row r="27" spans="2:16" ht="22" x14ac:dyDescent="0.35">
      <c r="B27" s="280"/>
      <c r="C27" s="37" t="s">
        <v>400</v>
      </c>
      <c r="D27" s="61">
        <f>SUM(D24:D26)</f>
        <v>1035</v>
      </c>
      <c r="E27" s="62">
        <f>((D24*E24)+(D25*E25)+(D26*E26))/D27</f>
        <v>2098.2521739130434</v>
      </c>
      <c r="F27" s="309"/>
      <c r="G27" s="309"/>
      <c r="H27" s="309"/>
      <c r="I27" s="309"/>
      <c r="J27" s="309"/>
      <c r="K27" s="309"/>
      <c r="L27" s="309"/>
      <c r="M27" s="309"/>
      <c r="N27" s="309"/>
      <c r="O27" s="309"/>
      <c r="P27" s="47"/>
    </row>
    <row r="28" spans="2:16" x14ac:dyDescent="0.35">
      <c r="B28" s="280" t="s">
        <v>449</v>
      </c>
      <c r="C28" s="37" t="s">
        <v>398</v>
      </c>
      <c r="D28" s="281" t="s">
        <v>796</v>
      </c>
      <c r="E28" s="313"/>
      <c r="F28" s="313"/>
      <c r="G28" s="313"/>
      <c r="H28" s="313"/>
      <c r="I28" s="313"/>
      <c r="J28" s="313"/>
      <c r="K28" s="313"/>
      <c r="L28" s="313"/>
      <c r="M28" s="313"/>
      <c r="N28" s="313"/>
      <c r="O28" s="314"/>
    </row>
    <row r="29" spans="2:16" x14ac:dyDescent="0.35">
      <c r="B29" s="280"/>
      <c r="C29" s="37" t="s">
        <v>399</v>
      </c>
      <c r="D29" s="315"/>
      <c r="E29" s="316"/>
      <c r="F29" s="316"/>
      <c r="G29" s="316"/>
      <c r="H29" s="316"/>
      <c r="I29" s="316"/>
      <c r="J29" s="316"/>
      <c r="K29" s="316"/>
      <c r="L29" s="316"/>
      <c r="M29" s="316"/>
      <c r="N29" s="316"/>
      <c r="O29" s="317"/>
    </row>
    <row r="30" spans="2:16" x14ac:dyDescent="0.35">
      <c r="B30" s="280"/>
      <c r="C30" s="37">
        <v>2020</v>
      </c>
      <c r="D30" s="315"/>
      <c r="E30" s="316"/>
      <c r="F30" s="316"/>
      <c r="G30" s="316"/>
      <c r="H30" s="316"/>
      <c r="I30" s="316"/>
      <c r="J30" s="316"/>
      <c r="K30" s="316"/>
      <c r="L30" s="316"/>
      <c r="M30" s="316"/>
      <c r="N30" s="316"/>
      <c r="O30" s="317"/>
    </row>
    <row r="31" spans="2:16" x14ac:dyDescent="0.35">
      <c r="B31" s="280"/>
      <c r="C31" s="37">
        <v>2021</v>
      </c>
      <c r="D31" s="315"/>
      <c r="E31" s="316"/>
      <c r="F31" s="316"/>
      <c r="G31" s="316"/>
      <c r="H31" s="316"/>
      <c r="I31" s="316"/>
      <c r="J31" s="316"/>
      <c r="K31" s="316"/>
      <c r="L31" s="316"/>
      <c r="M31" s="316"/>
      <c r="N31" s="316"/>
      <c r="O31" s="317"/>
    </row>
    <row r="32" spans="2:16" x14ac:dyDescent="0.35">
      <c r="B32" s="280"/>
      <c r="C32" s="37">
        <v>2022</v>
      </c>
      <c r="D32" s="315"/>
      <c r="E32" s="316"/>
      <c r="F32" s="316"/>
      <c r="G32" s="316"/>
      <c r="H32" s="316"/>
      <c r="I32" s="316"/>
      <c r="J32" s="316"/>
      <c r="K32" s="316"/>
      <c r="L32" s="316"/>
      <c r="M32" s="316"/>
      <c r="N32" s="316"/>
      <c r="O32" s="317"/>
    </row>
    <row r="33" spans="2:15" ht="22" x14ac:dyDescent="0.35">
      <c r="B33" s="280"/>
      <c r="C33" s="37" t="s">
        <v>400</v>
      </c>
      <c r="D33" s="318"/>
      <c r="E33" s="319"/>
      <c r="F33" s="319"/>
      <c r="G33" s="319"/>
      <c r="H33" s="319"/>
      <c r="I33" s="319"/>
      <c r="J33" s="319"/>
      <c r="K33" s="319"/>
      <c r="L33" s="319"/>
      <c r="M33" s="319"/>
      <c r="N33" s="319"/>
      <c r="O33" s="320"/>
    </row>
    <row r="34" spans="2:15" x14ac:dyDescent="0.35">
      <c r="B34" s="280" t="s">
        <v>583</v>
      </c>
      <c r="C34" s="37" t="s">
        <v>398</v>
      </c>
      <c r="D34" s="281" t="s">
        <v>797</v>
      </c>
      <c r="E34" s="313"/>
      <c r="F34" s="313"/>
      <c r="G34" s="313"/>
      <c r="H34" s="313"/>
      <c r="I34" s="313"/>
      <c r="J34" s="313"/>
      <c r="K34" s="313"/>
      <c r="L34" s="313"/>
      <c r="M34" s="313"/>
      <c r="N34" s="313"/>
      <c r="O34" s="314"/>
    </row>
    <row r="35" spans="2:15" x14ac:dyDescent="0.35">
      <c r="B35" s="280"/>
      <c r="C35" s="37" t="s">
        <v>399</v>
      </c>
      <c r="D35" s="315"/>
      <c r="E35" s="316"/>
      <c r="F35" s="316"/>
      <c r="G35" s="316"/>
      <c r="H35" s="316"/>
      <c r="I35" s="316"/>
      <c r="J35" s="316"/>
      <c r="K35" s="316"/>
      <c r="L35" s="316"/>
      <c r="M35" s="316"/>
      <c r="N35" s="316"/>
      <c r="O35" s="317"/>
    </row>
    <row r="36" spans="2:15" x14ac:dyDescent="0.35">
      <c r="B36" s="280"/>
      <c r="C36" s="37">
        <v>2020</v>
      </c>
      <c r="D36" s="315"/>
      <c r="E36" s="316"/>
      <c r="F36" s="316"/>
      <c r="G36" s="316"/>
      <c r="H36" s="316"/>
      <c r="I36" s="316"/>
      <c r="J36" s="316"/>
      <c r="K36" s="316"/>
      <c r="L36" s="316"/>
      <c r="M36" s="316"/>
      <c r="N36" s="316"/>
      <c r="O36" s="317"/>
    </row>
    <row r="37" spans="2:15" x14ac:dyDescent="0.35">
      <c r="B37" s="280"/>
      <c r="C37" s="37">
        <v>2021</v>
      </c>
      <c r="D37" s="315"/>
      <c r="E37" s="316"/>
      <c r="F37" s="316"/>
      <c r="G37" s="316"/>
      <c r="H37" s="316"/>
      <c r="I37" s="316"/>
      <c r="J37" s="316"/>
      <c r="K37" s="316"/>
      <c r="L37" s="316"/>
      <c r="M37" s="316"/>
      <c r="N37" s="316"/>
      <c r="O37" s="317"/>
    </row>
    <row r="38" spans="2:15" x14ac:dyDescent="0.35">
      <c r="B38" s="280"/>
      <c r="C38" s="37">
        <v>2022</v>
      </c>
      <c r="D38" s="315"/>
      <c r="E38" s="316"/>
      <c r="F38" s="316"/>
      <c r="G38" s="316"/>
      <c r="H38" s="316"/>
      <c r="I38" s="316"/>
      <c r="J38" s="316"/>
      <c r="K38" s="316"/>
      <c r="L38" s="316"/>
      <c r="M38" s="316"/>
      <c r="N38" s="316"/>
      <c r="O38" s="317"/>
    </row>
    <row r="39" spans="2:15" ht="22" x14ac:dyDescent="0.35">
      <c r="B39" s="280"/>
      <c r="C39" s="37" t="s">
        <v>400</v>
      </c>
      <c r="D39" s="318"/>
      <c r="E39" s="319"/>
      <c r="F39" s="319"/>
      <c r="G39" s="319"/>
      <c r="H39" s="319"/>
      <c r="I39" s="319"/>
      <c r="J39" s="319"/>
      <c r="K39" s="319"/>
      <c r="L39" s="319"/>
      <c r="M39" s="319"/>
      <c r="N39" s="319"/>
      <c r="O39" s="320"/>
    </row>
    <row r="40" spans="2:15" ht="15" customHeight="1" x14ac:dyDescent="0.35">
      <c r="B40" s="280" t="s">
        <v>450</v>
      </c>
      <c r="C40" s="37" t="s">
        <v>398</v>
      </c>
      <c r="D40" s="290" t="s">
        <v>579</v>
      </c>
      <c r="E40" s="290" t="s">
        <v>579</v>
      </c>
      <c r="F40" s="290" t="s">
        <v>102</v>
      </c>
      <c r="G40" s="290" t="s">
        <v>51</v>
      </c>
      <c r="H40" s="290" t="s">
        <v>51</v>
      </c>
      <c r="I40" s="290" t="s">
        <v>586</v>
      </c>
      <c r="J40" s="290" t="s">
        <v>514</v>
      </c>
      <c r="K40" s="290" t="s">
        <v>573</v>
      </c>
      <c r="L40" s="290" t="s">
        <v>51</v>
      </c>
      <c r="M40" s="290" t="s">
        <v>529</v>
      </c>
      <c r="N40" s="290" t="s">
        <v>571</v>
      </c>
      <c r="O40" s="290" t="s">
        <v>517</v>
      </c>
    </row>
    <row r="41" spans="2:15" x14ac:dyDescent="0.35">
      <c r="B41" s="280"/>
      <c r="C41" s="37" t="s">
        <v>399</v>
      </c>
      <c r="D41" s="308"/>
      <c r="E41" s="308"/>
      <c r="F41" s="308"/>
      <c r="G41" s="308"/>
      <c r="H41" s="308"/>
      <c r="I41" s="308"/>
      <c r="J41" s="308"/>
      <c r="K41" s="308"/>
      <c r="L41" s="308"/>
      <c r="M41" s="308"/>
      <c r="N41" s="308"/>
      <c r="O41" s="308"/>
    </row>
    <row r="42" spans="2:15" x14ac:dyDescent="0.35">
      <c r="B42" s="280"/>
      <c r="C42" s="37">
        <v>2020</v>
      </c>
      <c r="D42" s="308"/>
      <c r="E42" s="308"/>
      <c r="F42" s="308"/>
      <c r="G42" s="308"/>
      <c r="H42" s="308"/>
      <c r="I42" s="308"/>
      <c r="J42" s="308"/>
      <c r="K42" s="308"/>
      <c r="L42" s="308"/>
      <c r="M42" s="308"/>
      <c r="N42" s="308"/>
      <c r="O42" s="308"/>
    </row>
    <row r="43" spans="2:15" x14ac:dyDescent="0.35">
      <c r="B43" s="280"/>
      <c r="C43" s="37">
        <v>2021</v>
      </c>
      <c r="D43" s="308"/>
      <c r="E43" s="308"/>
      <c r="F43" s="308"/>
      <c r="G43" s="308"/>
      <c r="H43" s="308"/>
      <c r="I43" s="308"/>
      <c r="J43" s="308"/>
      <c r="K43" s="308"/>
      <c r="L43" s="308"/>
      <c r="M43" s="308"/>
      <c r="N43" s="308"/>
      <c r="O43" s="308"/>
    </row>
    <row r="44" spans="2:15" x14ac:dyDescent="0.35">
      <c r="B44" s="280"/>
      <c r="C44" s="37">
        <v>2022</v>
      </c>
      <c r="D44" s="308"/>
      <c r="E44" s="308"/>
      <c r="F44" s="308"/>
      <c r="G44" s="308"/>
      <c r="H44" s="308"/>
      <c r="I44" s="308"/>
      <c r="J44" s="308"/>
      <c r="K44" s="308"/>
      <c r="L44" s="308"/>
      <c r="M44" s="308"/>
      <c r="N44" s="308"/>
      <c r="O44" s="308"/>
    </row>
    <row r="45" spans="2:15" ht="22" x14ac:dyDescent="0.35">
      <c r="B45" s="280"/>
      <c r="C45" s="37" t="s">
        <v>400</v>
      </c>
      <c r="D45" s="309"/>
      <c r="E45" s="309"/>
      <c r="F45" s="309"/>
      <c r="G45" s="309"/>
      <c r="H45" s="309"/>
      <c r="I45" s="309"/>
      <c r="J45" s="309"/>
      <c r="K45" s="309"/>
      <c r="L45" s="309"/>
      <c r="M45" s="309"/>
      <c r="N45" s="309"/>
      <c r="O45" s="309"/>
    </row>
    <row r="46" spans="2:15" ht="15" customHeight="1" x14ac:dyDescent="0.35">
      <c r="B46" s="280" t="s">
        <v>584</v>
      </c>
      <c r="C46" s="37" t="s">
        <v>398</v>
      </c>
      <c r="D46" s="281" t="s">
        <v>525</v>
      </c>
      <c r="E46" s="313"/>
      <c r="F46" s="313"/>
      <c r="G46" s="313"/>
      <c r="H46" s="313"/>
      <c r="I46" s="313"/>
      <c r="J46" s="313"/>
      <c r="K46" s="313"/>
      <c r="L46" s="313"/>
      <c r="M46" s="313"/>
      <c r="N46" s="313"/>
      <c r="O46" s="314"/>
    </row>
    <row r="47" spans="2:15" x14ac:dyDescent="0.35">
      <c r="B47" s="280"/>
      <c r="C47" s="37" t="s">
        <v>399</v>
      </c>
      <c r="D47" s="315"/>
      <c r="E47" s="316"/>
      <c r="F47" s="316"/>
      <c r="G47" s="316"/>
      <c r="H47" s="316"/>
      <c r="I47" s="316"/>
      <c r="J47" s="316"/>
      <c r="K47" s="316"/>
      <c r="L47" s="316"/>
      <c r="M47" s="316"/>
      <c r="N47" s="316"/>
      <c r="O47" s="317"/>
    </row>
    <row r="48" spans="2:15" x14ac:dyDescent="0.35">
      <c r="B48" s="280"/>
      <c r="C48" s="37">
        <v>2020</v>
      </c>
      <c r="D48" s="315"/>
      <c r="E48" s="316"/>
      <c r="F48" s="316"/>
      <c r="G48" s="316"/>
      <c r="H48" s="316"/>
      <c r="I48" s="316"/>
      <c r="J48" s="316"/>
      <c r="K48" s="316"/>
      <c r="L48" s="316"/>
      <c r="M48" s="316"/>
      <c r="N48" s="316"/>
      <c r="O48" s="317"/>
    </row>
    <row r="49" spans="2:15" x14ac:dyDescent="0.35">
      <c r="B49" s="280"/>
      <c r="C49" s="37">
        <v>2021</v>
      </c>
      <c r="D49" s="315"/>
      <c r="E49" s="316"/>
      <c r="F49" s="316"/>
      <c r="G49" s="316"/>
      <c r="H49" s="316"/>
      <c r="I49" s="316"/>
      <c r="J49" s="316"/>
      <c r="K49" s="316"/>
      <c r="L49" s="316"/>
      <c r="M49" s="316"/>
      <c r="N49" s="316"/>
      <c r="O49" s="317"/>
    </row>
    <row r="50" spans="2:15" x14ac:dyDescent="0.35">
      <c r="B50" s="280"/>
      <c r="C50" s="37">
        <v>2022</v>
      </c>
      <c r="D50" s="315"/>
      <c r="E50" s="316"/>
      <c r="F50" s="316"/>
      <c r="G50" s="316"/>
      <c r="H50" s="316"/>
      <c r="I50" s="316"/>
      <c r="J50" s="316"/>
      <c r="K50" s="316"/>
      <c r="L50" s="316"/>
      <c r="M50" s="316"/>
      <c r="N50" s="316"/>
      <c r="O50" s="317"/>
    </row>
    <row r="51" spans="2:15" ht="22" x14ac:dyDescent="0.35">
      <c r="B51" s="280"/>
      <c r="C51" s="37" t="s">
        <v>400</v>
      </c>
      <c r="D51" s="318"/>
      <c r="E51" s="319"/>
      <c r="F51" s="319"/>
      <c r="G51" s="319"/>
      <c r="H51" s="319"/>
      <c r="I51" s="319"/>
      <c r="J51" s="319"/>
      <c r="K51" s="319"/>
      <c r="L51" s="319"/>
      <c r="M51" s="319"/>
      <c r="N51" s="319"/>
      <c r="O51" s="320"/>
    </row>
    <row r="52" spans="2:15" ht="15" customHeight="1" x14ac:dyDescent="0.35">
      <c r="B52" s="280" t="s">
        <v>439</v>
      </c>
      <c r="C52" s="37" t="s">
        <v>398</v>
      </c>
      <c r="D52" s="281" t="s">
        <v>526</v>
      </c>
      <c r="E52" s="313"/>
      <c r="F52" s="313"/>
      <c r="G52" s="313"/>
      <c r="H52" s="313"/>
      <c r="I52" s="313"/>
      <c r="J52" s="313"/>
      <c r="K52" s="313"/>
      <c r="L52" s="313"/>
      <c r="M52" s="313"/>
      <c r="N52" s="313"/>
      <c r="O52" s="314"/>
    </row>
    <row r="53" spans="2:15" x14ac:dyDescent="0.35">
      <c r="B53" s="280"/>
      <c r="C53" s="37" t="s">
        <v>399</v>
      </c>
      <c r="D53" s="315"/>
      <c r="E53" s="316"/>
      <c r="F53" s="316"/>
      <c r="G53" s="316"/>
      <c r="H53" s="316"/>
      <c r="I53" s="316"/>
      <c r="J53" s="316"/>
      <c r="K53" s="316"/>
      <c r="L53" s="316"/>
      <c r="M53" s="316"/>
      <c r="N53" s="316"/>
      <c r="O53" s="317"/>
    </row>
    <row r="54" spans="2:15" x14ac:dyDescent="0.35">
      <c r="B54" s="280"/>
      <c r="C54" s="37">
        <v>2020</v>
      </c>
      <c r="D54" s="315"/>
      <c r="E54" s="316"/>
      <c r="F54" s="316"/>
      <c r="G54" s="316"/>
      <c r="H54" s="316"/>
      <c r="I54" s="316"/>
      <c r="J54" s="316"/>
      <c r="K54" s="316"/>
      <c r="L54" s="316"/>
      <c r="M54" s="316"/>
      <c r="N54" s="316"/>
      <c r="O54" s="317"/>
    </row>
    <row r="55" spans="2:15" x14ac:dyDescent="0.35">
      <c r="B55" s="280"/>
      <c r="C55" s="37">
        <v>2021</v>
      </c>
      <c r="D55" s="315"/>
      <c r="E55" s="316"/>
      <c r="F55" s="316"/>
      <c r="G55" s="316"/>
      <c r="H55" s="316"/>
      <c r="I55" s="316"/>
      <c r="J55" s="316"/>
      <c r="K55" s="316"/>
      <c r="L55" s="316"/>
      <c r="M55" s="316"/>
      <c r="N55" s="316"/>
      <c r="O55" s="317"/>
    </row>
    <row r="56" spans="2:15" x14ac:dyDescent="0.35">
      <c r="B56" s="280"/>
      <c r="C56" s="37">
        <v>2022</v>
      </c>
      <c r="D56" s="315"/>
      <c r="E56" s="316"/>
      <c r="F56" s="316"/>
      <c r="G56" s="316"/>
      <c r="H56" s="316"/>
      <c r="I56" s="316"/>
      <c r="J56" s="316"/>
      <c r="K56" s="316"/>
      <c r="L56" s="316"/>
      <c r="M56" s="316"/>
      <c r="N56" s="316"/>
      <c r="O56" s="317"/>
    </row>
    <row r="57" spans="2:15" ht="22" x14ac:dyDescent="0.35">
      <c r="B57" s="280"/>
      <c r="C57" s="37" t="s">
        <v>400</v>
      </c>
      <c r="D57" s="318"/>
      <c r="E57" s="319"/>
      <c r="F57" s="319"/>
      <c r="G57" s="319"/>
      <c r="H57" s="319"/>
      <c r="I57" s="319"/>
      <c r="J57" s="319"/>
      <c r="K57" s="319"/>
      <c r="L57" s="319"/>
      <c r="M57" s="319"/>
      <c r="N57" s="319"/>
      <c r="O57" s="320"/>
    </row>
    <row r="58" spans="2:15" ht="26.25" customHeight="1" x14ac:dyDescent="0.35">
      <c r="B58" s="280" t="s">
        <v>451</v>
      </c>
      <c r="C58" s="37" t="s">
        <v>398</v>
      </c>
      <c r="D58" s="281" t="s">
        <v>798</v>
      </c>
      <c r="E58" s="313"/>
      <c r="F58" s="313"/>
      <c r="G58" s="313"/>
      <c r="H58" s="313"/>
      <c r="I58" s="313"/>
      <c r="J58" s="313"/>
      <c r="K58" s="313"/>
      <c r="L58" s="313"/>
      <c r="M58" s="313"/>
      <c r="N58" s="313"/>
      <c r="O58" s="314"/>
    </row>
    <row r="59" spans="2:15" x14ac:dyDescent="0.35">
      <c r="B59" s="280"/>
      <c r="C59" s="37" t="s">
        <v>399</v>
      </c>
      <c r="D59" s="315"/>
      <c r="E59" s="316"/>
      <c r="F59" s="316"/>
      <c r="G59" s="316"/>
      <c r="H59" s="316"/>
      <c r="I59" s="316"/>
      <c r="J59" s="316"/>
      <c r="K59" s="316"/>
      <c r="L59" s="316"/>
      <c r="M59" s="316"/>
      <c r="N59" s="316"/>
      <c r="O59" s="317"/>
    </row>
    <row r="60" spans="2:15" x14ac:dyDescent="0.35">
      <c r="B60" s="280"/>
      <c r="C60" s="37">
        <v>2020</v>
      </c>
      <c r="D60" s="315"/>
      <c r="E60" s="316"/>
      <c r="F60" s="316"/>
      <c r="G60" s="316"/>
      <c r="H60" s="316"/>
      <c r="I60" s="316"/>
      <c r="J60" s="316"/>
      <c r="K60" s="316"/>
      <c r="L60" s="316"/>
      <c r="M60" s="316"/>
      <c r="N60" s="316"/>
      <c r="O60" s="317"/>
    </row>
    <row r="61" spans="2:15" x14ac:dyDescent="0.35">
      <c r="B61" s="280"/>
      <c r="C61" s="37">
        <v>2021</v>
      </c>
      <c r="D61" s="315"/>
      <c r="E61" s="316"/>
      <c r="F61" s="316"/>
      <c r="G61" s="316"/>
      <c r="H61" s="316"/>
      <c r="I61" s="316"/>
      <c r="J61" s="316"/>
      <c r="K61" s="316"/>
      <c r="L61" s="316"/>
      <c r="M61" s="316"/>
      <c r="N61" s="316"/>
      <c r="O61" s="317"/>
    </row>
    <row r="62" spans="2:15" x14ac:dyDescent="0.35">
      <c r="B62" s="280"/>
      <c r="C62" s="37">
        <v>2022</v>
      </c>
      <c r="D62" s="315"/>
      <c r="E62" s="316"/>
      <c r="F62" s="316"/>
      <c r="G62" s="316"/>
      <c r="H62" s="316"/>
      <c r="I62" s="316"/>
      <c r="J62" s="316"/>
      <c r="K62" s="316"/>
      <c r="L62" s="316"/>
      <c r="M62" s="316"/>
      <c r="N62" s="316"/>
      <c r="O62" s="317"/>
    </row>
    <row r="63" spans="2:15" ht="22" x14ac:dyDescent="0.35">
      <c r="B63" s="280"/>
      <c r="C63" s="37" t="s">
        <v>400</v>
      </c>
      <c r="D63" s="318"/>
      <c r="E63" s="319"/>
      <c r="F63" s="319"/>
      <c r="G63" s="319"/>
      <c r="H63" s="319"/>
      <c r="I63" s="319"/>
      <c r="J63" s="319"/>
      <c r="K63" s="319"/>
      <c r="L63" s="319"/>
      <c r="M63" s="319"/>
      <c r="N63" s="319"/>
      <c r="O63" s="320"/>
    </row>
    <row r="64" spans="2:15" x14ac:dyDescent="0.35">
      <c r="B64" s="280" t="s">
        <v>452</v>
      </c>
      <c r="C64" s="37" t="s">
        <v>398</v>
      </c>
      <c r="D64" s="281" t="s">
        <v>576</v>
      </c>
      <c r="E64" s="313"/>
      <c r="F64" s="313"/>
      <c r="G64" s="313"/>
      <c r="H64" s="313"/>
      <c r="I64" s="313"/>
      <c r="J64" s="313"/>
      <c r="K64" s="313"/>
      <c r="L64" s="313"/>
      <c r="M64" s="313"/>
      <c r="N64" s="313"/>
      <c r="O64" s="314"/>
    </row>
    <row r="65" spans="2:15" x14ac:dyDescent="0.35">
      <c r="B65" s="280"/>
      <c r="C65" s="37" t="s">
        <v>399</v>
      </c>
      <c r="D65" s="315"/>
      <c r="E65" s="316"/>
      <c r="F65" s="316"/>
      <c r="G65" s="316"/>
      <c r="H65" s="316"/>
      <c r="I65" s="316"/>
      <c r="J65" s="316"/>
      <c r="K65" s="316"/>
      <c r="L65" s="316"/>
      <c r="M65" s="316"/>
      <c r="N65" s="316"/>
      <c r="O65" s="317"/>
    </row>
    <row r="66" spans="2:15" x14ac:dyDescent="0.35">
      <c r="B66" s="280"/>
      <c r="C66" s="37">
        <v>2020</v>
      </c>
      <c r="D66" s="315"/>
      <c r="E66" s="316"/>
      <c r="F66" s="316"/>
      <c r="G66" s="316"/>
      <c r="H66" s="316"/>
      <c r="I66" s="316"/>
      <c r="J66" s="316"/>
      <c r="K66" s="316"/>
      <c r="L66" s="316"/>
      <c r="M66" s="316"/>
      <c r="N66" s="316"/>
      <c r="O66" s="317"/>
    </row>
    <row r="67" spans="2:15" x14ac:dyDescent="0.35">
      <c r="B67" s="280"/>
      <c r="C67" s="37">
        <v>2021</v>
      </c>
      <c r="D67" s="315"/>
      <c r="E67" s="316"/>
      <c r="F67" s="316"/>
      <c r="G67" s="316"/>
      <c r="H67" s="316"/>
      <c r="I67" s="316"/>
      <c r="J67" s="316"/>
      <c r="K67" s="316"/>
      <c r="L67" s="316"/>
      <c r="M67" s="316"/>
      <c r="N67" s="316"/>
      <c r="O67" s="317"/>
    </row>
    <row r="68" spans="2:15" x14ac:dyDescent="0.35">
      <c r="B68" s="280"/>
      <c r="C68" s="37">
        <v>2022</v>
      </c>
      <c r="D68" s="315"/>
      <c r="E68" s="316"/>
      <c r="F68" s="316"/>
      <c r="G68" s="316"/>
      <c r="H68" s="316"/>
      <c r="I68" s="316"/>
      <c r="J68" s="316"/>
      <c r="K68" s="316"/>
      <c r="L68" s="316"/>
      <c r="M68" s="316"/>
      <c r="N68" s="316"/>
      <c r="O68" s="317"/>
    </row>
    <row r="69" spans="2:15" ht="22" x14ac:dyDescent="0.35">
      <c r="B69" s="280"/>
      <c r="C69" s="37" t="s">
        <v>400</v>
      </c>
      <c r="D69" s="318"/>
      <c r="E69" s="319"/>
      <c r="F69" s="319"/>
      <c r="G69" s="319"/>
      <c r="H69" s="319"/>
      <c r="I69" s="319"/>
      <c r="J69" s="319"/>
      <c r="K69" s="319"/>
      <c r="L69" s="319"/>
      <c r="M69" s="319"/>
      <c r="N69" s="319"/>
      <c r="O69" s="320"/>
    </row>
    <row r="70" spans="2:15" x14ac:dyDescent="0.35">
      <c r="B70" s="280" t="s">
        <v>453</v>
      </c>
      <c r="C70" s="37" t="s">
        <v>398</v>
      </c>
      <c r="D70" s="281" t="s">
        <v>574</v>
      </c>
      <c r="E70" s="313"/>
      <c r="F70" s="313"/>
      <c r="G70" s="313"/>
      <c r="H70" s="313"/>
      <c r="I70" s="313"/>
      <c r="J70" s="313"/>
      <c r="K70" s="313"/>
      <c r="L70" s="313"/>
      <c r="M70" s="313"/>
      <c r="N70" s="313"/>
      <c r="O70" s="314"/>
    </row>
    <row r="71" spans="2:15" x14ac:dyDescent="0.35">
      <c r="B71" s="280"/>
      <c r="C71" s="37" t="s">
        <v>399</v>
      </c>
      <c r="D71" s="315"/>
      <c r="E71" s="316"/>
      <c r="F71" s="316"/>
      <c r="G71" s="316"/>
      <c r="H71" s="316"/>
      <c r="I71" s="316"/>
      <c r="J71" s="316"/>
      <c r="K71" s="316"/>
      <c r="L71" s="316"/>
      <c r="M71" s="316"/>
      <c r="N71" s="316"/>
      <c r="O71" s="317"/>
    </row>
    <row r="72" spans="2:15" x14ac:dyDescent="0.35">
      <c r="B72" s="280"/>
      <c r="C72" s="37">
        <v>2020</v>
      </c>
      <c r="D72" s="315"/>
      <c r="E72" s="316"/>
      <c r="F72" s="316"/>
      <c r="G72" s="316"/>
      <c r="H72" s="316"/>
      <c r="I72" s="316"/>
      <c r="J72" s="316"/>
      <c r="K72" s="316"/>
      <c r="L72" s="316"/>
      <c r="M72" s="316"/>
      <c r="N72" s="316"/>
      <c r="O72" s="317"/>
    </row>
    <row r="73" spans="2:15" x14ac:dyDescent="0.35">
      <c r="B73" s="280"/>
      <c r="C73" s="37">
        <v>2021</v>
      </c>
      <c r="D73" s="315"/>
      <c r="E73" s="316"/>
      <c r="F73" s="316"/>
      <c r="G73" s="316"/>
      <c r="H73" s="316"/>
      <c r="I73" s="316"/>
      <c r="J73" s="316"/>
      <c r="K73" s="316"/>
      <c r="L73" s="316"/>
      <c r="M73" s="316"/>
      <c r="N73" s="316"/>
      <c r="O73" s="317"/>
    </row>
    <row r="74" spans="2:15" x14ac:dyDescent="0.35">
      <c r="B74" s="280"/>
      <c r="C74" s="37">
        <v>2022</v>
      </c>
      <c r="D74" s="315"/>
      <c r="E74" s="316"/>
      <c r="F74" s="316"/>
      <c r="G74" s="316"/>
      <c r="H74" s="316"/>
      <c r="I74" s="316"/>
      <c r="J74" s="316"/>
      <c r="K74" s="316"/>
      <c r="L74" s="316"/>
      <c r="M74" s="316"/>
      <c r="N74" s="316"/>
      <c r="O74" s="317"/>
    </row>
    <row r="75" spans="2:15" ht="22" x14ac:dyDescent="0.35">
      <c r="B75" s="280"/>
      <c r="C75" s="37" t="s">
        <v>400</v>
      </c>
      <c r="D75" s="318"/>
      <c r="E75" s="319"/>
      <c r="F75" s="319"/>
      <c r="G75" s="319"/>
      <c r="H75" s="319"/>
      <c r="I75" s="319"/>
      <c r="J75" s="319"/>
      <c r="K75" s="319"/>
      <c r="L75" s="319"/>
      <c r="M75" s="319"/>
      <c r="N75" s="319"/>
      <c r="O75" s="320"/>
    </row>
    <row r="76" spans="2:15" x14ac:dyDescent="0.35">
      <c r="B76" s="280" t="s">
        <v>454</v>
      </c>
      <c r="C76" s="37" t="s">
        <v>398</v>
      </c>
      <c r="D76" s="281" t="s">
        <v>575</v>
      </c>
      <c r="E76" s="313"/>
      <c r="F76" s="313"/>
      <c r="G76" s="313"/>
      <c r="H76" s="313"/>
      <c r="I76" s="313"/>
      <c r="J76" s="313"/>
      <c r="K76" s="313"/>
      <c r="L76" s="313"/>
      <c r="M76" s="313"/>
      <c r="N76" s="313"/>
      <c r="O76" s="314"/>
    </row>
    <row r="77" spans="2:15" x14ac:dyDescent="0.35">
      <c r="B77" s="280"/>
      <c r="C77" s="37" t="s">
        <v>399</v>
      </c>
      <c r="D77" s="315"/>
      <c r="E77" s="316"/>
      <c r="F77" s="316"/>
      <c r="G77" s="316"/>
      <c r="H77" s="316"/>
      <c r="I77" s="316"/>
      <c r="J77" s="316"/>
      <c r="K77" s="316"/>
      <c r="L77" s="316"/>
      <c r="M77" s="316"/>
      <c r="N77" s="316"/>
      <c r="O77" s="317"/>
    </row>
    <row r="78" spans="2:15" x14ac:dyDescent="0.35">
      <c r="B78" s="280"/>
      <c r="C78" s="37">
        <v>2020</v>
      </c>
      <c r="D78" s="315"/>
      <c r="E78" s="316"/>
      <c r="F78" s="316"/>
      <c r="G78" s="316"/>
      <c r="H78" s="316"/>
      <c r="I78" s="316"/>
      <c r="J78" s="316"/>
      <c r="K78" s="316"/>
      <c r="L78" s="316"/>
      <c r="M78" s="316"/>
      <c r="N78" s="316"/>
      <c r="O78" s="317"/>
    </row>
    <row r="79" spans="2:15" x14ac:dyDescent="0.35">
      <c r="B79" s="280"/>
      <c r="C79" s="37">
        <v>2021</v>
      </c>
      <c r="D79" s="315"/>
      <c r="E79" s="316"/>
      <c r="F79" s="316"/>
      <c r="G79" s="316"/>
      <c r="H79" s="316"/>
      <c r="I79" s="316"/>
      <c r="J79" s="316"/>
      <c r="K79" s="316"/>
      <c r="L79" s="316"/>
      <c r="M79" s="316"/>
      <c r="N79" s="316"/>
      <c r="O79" s="317"/>
    </row>
    <row r="80" spans="2:15" x14ac:dyDescent="0.35">
      <c r="B80" s="280"/>
      <c r="C80" s="37">
        <v>2022</v>
      </c>
      <c r="D80" s="315"/>
      <c r="E80" s="316"/>
      <c r="F80" s="316"/>
      <c r="G80" s="316"/>
      <c r="H80" s="316"/>
      <c r="I80" s="316"/>
      <c r="J80" s="316"/>
      <c r="K80" s="316"/>
      <c r="L80" s="316"/>
      <c r="M80" s="316"/>
      <c r="N80" s="316"/>
      <c r="O80" s="317"/>
    </row>
    <row r="81" spans="2:15" ht="22" x14ac:dyDescent="0.35">
      <c r="B81" s="280"/>
      <c r="C81" s="37" t="s">
        <v>400</v>
      </c>
      <c r="D81" s="318"/>
      <c r="E81" s="319"/>
      <c r="F81" s="319"/>
      <c r="G81" s="319"/>
      <c r="H81" s="319"/>
      <c r="I81" s="319"/>
      <c r="J81" s="319"/>
      <c r="K81" s="319"/>
      <c r="L81" s="319"/>
      <c r="M81" s="319"/>
      <c r="N81" s="319"/>
      <c r="O81" s="320"/>
    </row>
    <row r="82" spans="2:15" ht="15" customHeight="1" x14ac:dyDescent="0.35">
      <c r="B82" s="323" t="s">
        <v>455</v>
      </c>
      <c r="C82" s="37" t="s">
        <v>398</v>
      </c>
      <c r="D82" s="290" t="s">
        <v>579</v>
      </c>
      <c r="E82" s="290" t="s">
        <v>579</v>
      </c>
      <c r="F82" s="290" t="s">
        <v>102</v>
      </c>
      <c r="G82" s="290" t="s">
        <v>51</v>
      </c>
      <c r="H82" s="290" t="s">
        <v>51</v>
      </c>
      <c r="I82" s="290" t="s">
        <v>586</v>
      </c>
      <c r="J82" s="290" t="s">
        <v>514</v>
      </c>
      <c r="K82" s="290" t="s">
        <v>51</v>
      </c>
      <c r="L82" s="290" t="s">
        <v>51</v>
      </c>
      <c r="M82" s="290" t="s">
        <v>51</v>
      </c>
      <c r="N82" s="290" t="s">
        <v>51</v>
      </c>
      <c r="O82" s="290" t="s">
        <v>554</v>
      </c>
    </row>
    <row r="83" spans="2:15" x14ac:dyDescent="0.35">
      <c r="B83" s="324"/>
      <c r="C83" s="37" t="s">
        <v>399</v>
      </c>
      <c r="D83" s="308"/>
      <c r="E83" s="308"/>
      <c r="F83" s="308"/>
      <c r="G83" s="308"/>
      <c r="H83" s="308"/>
      <c r="I83" s="308"/>
      <c r="J83" s="308"/>
      <c r="K83" s="308"/>
      <c r="L83" s="308"/>
      <c r="M83" s="308"/>
      <c r="N83" s="308"/>
      <c r="O83" s="308"/>
    </row>
    <row r="84" spans="2:15" x14ac:dyDescent="0.35">
      <c r="B84" s="324"/>
      <c r="C84" s="37">
        <v>2020</v>
      </c>
      <c r="D84" s="308"/>
      <c r="E84" s="308"/>
      <c r="F84" s="308"/>
      <c r="G84" s="308"/>
      <c r="H84" s="308"/>
      <c r="I84" s="308"/>
      <c r="J84" s="308"/>
      <c r="K84" s="308"/>
      <c r="L84" s="308"/>
      <c r="M84" s="308"/>
      <c r="N84" s="308"/>
      <c r="O84" s="308"/>
    </row>
    <row r="85" spans="2:15" x14ac:dyDescent="0.35">
      <c r="B85" s="324"/>
      <c r="C85" s="37">
        <v>2021</v>
      </c>
      <c r="D85" s="308"/>
      <c r="E85" s="308"/>
      <c r="F85" s="308"/>
      <c r="G85" s="308"/>
      <c r="H85" s="308"/>
      <c r="I85" s="308"/>
      <c r="J85" s="308"/>
      <c r="K85" s="308"/>
      <c r="L85" s="308"/>
      <c r="M85" s="308"/>
      <c r="N85" s="308"/>
      <c r="O85" s="308"/>
    </row>
    <row r="86" spans="2:15" x14ac:dyDescent="0.35">
      <c r="B86" s="324"/>
      <c r="C86" s="37">
        <v>2022</v>
      </c>
      <c r="D86" s="308"/>
      <c r="E86" s="308"/>
      <c r="F86" s="308"/>
      <c r="G86" s="308"/>
      <c r="H86" s="308"/>
      <c r="I86" s="308"/>
      <c r="J86" s="308"/>
      <c r="K86" s="308"/>
      <c r="L86" s="308"/>
      <c r="M86" s="308"/>
      <c r="N86" s="308"/>
      <c r="O86" s="308"/>
    </row>
    <row r="87" spans="2:15" ht="22" x14ac:dyDescent="0.35">
      <c r="B87" s="325"/>
      <c r="C87" s="37" t="s">
        <v>400</v>
      </c>
      <c r="D87" s="309"/>
      <c r="E87" s="309"/>
      <c r="F87" s="309"/>
      <c r="G87" s="309"/>
      <c r="H87" s="309"/>
      <c r="I87" s="309"/>
      <c r="J87" s="309"/>
      <c r="K87" s="309"/>
      <c r="L87" s="309"/>
      <c r="M87" s="309"/>
      <c r="N87" s="309"/>
      <c r="O87" s="309"/>
    </row>
    <row r="88" spans="2:15" x14ac:dyDescent="0.35">
      <c r="B88" s="323" t="s">
        <v>456</v>
      </c>
      <c r="C88" s="37" t="s">
        <v>398</v>
      </c>
      <c r="D88" s="281" t="s">
        <v>799</v>
      </c>
      <c r="E88" s="313"/>
      <c r="F88" s="313"/>
      <c r="G88" s="313"/>
      <c r="H88" s="313"/>
      <c r="I88" s="313"/>
      <c r="J88" s="313"/>
      <c r="K88" s="313"/>
      <c r="L88" s="313"/>
      <c r="M88" s="313"/>
      <c r="N88" s="313"/>
      <c r="O88" s="314"/>
    </row>
    <row r="89" spans="2:15" x14ac:dyDescent="0.35">
      <c r="B89" s="324"/>
      <c r="C89" s="37" t="s">
        <v>399</v>
      </c>
      <c r="D89" s="315"/>
      <c r="E89" s="316"/>
      <c r="F89" s="316"/>
      <c r="G89" s="316"/>
      <c r="H89" s="316"/>
      <c r="I89" s="316"/>
      <c r="J89" s="316"/>
      <c r="K89" s="316"/>
      <c r="L89" s="316"/>
      <c r="M89" s="316"/>
      <c r="N89" s="316"/>
      <c r="O89" s="317"/>
    </row>
    <row r="90" spans="2:15" x14ac:dyDescent="0.35">
      <c r="B90" s="324"/>
      <c r="C90" s="37">
        <v>2020</v>
      </c>
      <c r="D90" s="315"/>
      <c r="E90" s="316"/>
      <c r="F90" s="316"/>
      <c r="G90" s="316"/>
      <c r="H90" s="316"/>
      <c r="I90" s="316"/>
      <c r="J90" s="316"/>
      <c r="K90" s="316"/>
      <c r="L90" s="316"/>
      <c r="M90" s="316"/>
      <c r="N90" s="316"/>
      <c r="O90" s="317"/>
    </row>
    <row r="91" spans="2:15" x14ac:dyDescent="0.35">
      <c r="B91" s="324"/>
      <c r="C91" s="37">
        <v>2021</v>
      </c>
      <c r="D91" s="315"/>
      <c r="E91" s="316"/>
      <c r="F91" s="316"/>
      <c r="G91" s="316"/>
      <c r="H91" s="316"/>
      <c r="I91" s="316"/>
      <c r="J91" s="316"/>
      <c r="K91" s="316"/>
      <c r="L91" s="316"/>
      <c r="M91" s="316"/>
      <c r="N91" s="316"/>
      <c r="O91" s="317"/>
    </row>
    <row r="92" spans="2:15" x14ac:dyDescent="0.35">
      <c r="B92" s="324"/>
      <c r="C92" s="37">
        <v>2022</v>
      </c>
      <c r="D92" s="315"/>
      <c r="E92" s="316"/>
      <c r="F92" s="316"/>
      <c r="G92" s="316"/>
      <c r="H92" s="316"/>
      <c r="I92" s="316"/>
      <c r="J92" s="316"/>
      <c r="K92" s="316"/>
      <c r="L92" s="316"/>
      <c r="M92" s="316"/>
      <c r="N92" s="316"/>
      <c r="O92" s="317"/>
    </row>
    <row r="93" spans="2:15" ht="22" x14ac:dyDescent="0.35">
      <c r="B93" s="325"/>
      <c r="C93" s="37" t="s">
        <v>400</v>
      </c>
      <c r="D93" s="318"/>
      <c r="E93" s="319"/>
      <c r="F93" s="319"/>
      <c r="G93" s="319"/>
      <c r="H93" s="319"/>
      <c r="I93" s="319"/>
      <c r="J93" s="319"/>
      <c r="K93" s="319"/>
      <c r="L93" s="319"/>
      <c r="M93" s="319"/>
      <c r="N93" s="319"/>
      <c r="O93" s="320"/>
    </row>
    <row r="94" spans="2:15" x14ac:dyDescent="0.35">
      <c r="B94" s="280" t="s">
        <v>457</v>
      </c>
      <c r="C94" s="37" t="s">
        <v>398</v>
      </c>
      <c r="D94" s="281" t="s">
        <v>800</v>
      </c>
      <c r="E94" s="313"/>
      <c r="F94" s="313"/>
      <c r="G94" s="313"/>
      <c r="H94" s="313"/>
      <c r="I94" s="313"/>
      <c r="J94" s="313"/>
      <c r="K94" s="313"/>
      <c r="L94" s="313"/>
      <c r="M94" s="313"/>
      <c r="N94" s="313"/>
      <c r="O94" s="314"/>
    </row>
    <row r="95" spans="2:15" x14ac:dyDescent="0.35">
      <c r="B95" s="280"/>
      <c r="C95" s="37" t="s">
        <v>399</v>
      </c>
      <c r="D95" s="315"/>
      <c r="E95" s="316"/>
      <c r="F95" s="316"/>
      <c r="G95" s="316"/>
      <c r="H95" s="316"/>
      <c r="I95" s="316"/>
      <c r="J95" s="316"/>
      <c r="K95" s="316"/>
      <c r="L95" s="316"/>
      <c r="M95" s="316"/>
      <c r="N95" s="316"/>
      <c r="O95" s="317"/>
    </row>
    <row r="96" spans="2:15" x14ac:dyDescent="0.35">
      <c r="B96" s="280"/>
      <c r="C96" s="37">
        <v>2020</v>
      </c>
      <c r="D96" s="315"/>
      <c r="E96" s="316"/>
      <c r="F96" s="316"/>
      <c r="G96" s="316"/>
      <c r="H96" s="316"/>
      <c r="I96" s="316"/>
      <c r="J96" s="316"/>
      <c r="K96" s="316"/>
      <c r="L96" s="316"/>
      <c r="M96" s="316"/>
      <c r="N96" s="316"/>
      <c r="O96" s="317"/>
    </row>
    <row r="97" spans="2:15" x14ac:dyDescent="0.35">
      <c r="B97" s="280"/>
      <c r="C97" s="37">
        <v>2021</v>
      </c>
      <c r="D97" s="315"/>
      <c r="E97" s="316"/>
      <c r="F97" s="316"/>
      <c r="G97" s="316"/>
      <c r="H97" s="316"/>
      <c r="I97" s="316"/>
      <c r="J97" s="316"/>
      <c r="K97" s="316"/>
      <c r="L97" s="316"/>
      <c r="M97" s="316"/>
      <c r="N97" s="316"/>
      <c r="O97" s="317"/>
    </row>
    <row r="98" spans="2:15" x14ac:dyDescent="0.35">
      <c r="B98" s="280"/>
      <c r="C98" s="37">
        <v>2022</v>
      </c>
      <c r="D98" s="315"/>
      <c r="E98" s="316"/>
      <c r="F98" s="316"/>
      <c r="G98" s="316"/>
      <c r="H98" s="316"/>
      <c r="I98" s="316"/>
      <c r="J98" s="316"/>
      <c r="K98" s="316"/>
      <c r="L98" s="316"/>
      <c r="M98" s="316"/>
      <c r="N98" s="316"/>
      <c r="O98" s="317"/>
    </row>
    <row r="99" spans="2:15" ht="22" x14ac:dyDescent="0.35">
      <c r="B99" s="280"/>
      <c r="C99" s="37" t="s">
        <v>400</v>
      </c>
      <c r="D99" s="318"/>
      <c r="E99" s="319"/>
      <c r="F99" s="319"/>
      <c r="G99" s="319"/>
      <c r="H99" s="319"/>
      <c r="I99" s="319"/>
      <c r="J99" s="319"/>
      <c r="K99" s="319"/>
      <c r="L99" s="319"/>
      <c r="M99" s="319"/>
      <c r="N99" s="319"/>
      <c r="O99" s="320"/>
    </row>
    <row r="100" spans="2:15" x14ac:dyDescent="0.35">
      <c r="B100" s="280" t="s">
        <v>458</v>
      </c>
      <c r="C100" s="37" t="s">
        <v>398</v>
      </c>
      <c r="D100" s="281" t="s">
        <v>801</v>
      </c>
      <c r="E100" s="313"/>
      <c r="F100" s="313"/>
      <c r="G100" s="313"/>
      <c r="H100" s="313"/>
      <c r="I100" s="313"/>
      <c r="J100" s="313"/>
      <c r="K100" s="313"/>
      <c r="L100" s="313"/>
      <c r="M100" s="313"/>
      <c r="N100" s="313"/>
      <c r="O100" s="314"/>
    </row>
    <row r="101" spans="2:15" x14ac:dyDescent="0.35">
      <c r="B101" s="280"/>
      <c r="C101" s="37" t="s">
        <v>399</v>
      </c>
      <c r="D101" s="315"/>
      <c r="E101" s="316"/>
      <c r="F101" s="316"/>
      <c r="G101" s="316"/>
      <c r="H101" s="316"/>
      <c r="I101" s="316"/>
      <c r="J101" s="316"/>
      <c r="K101" s="316"/>
      <c r="L101" s="316"/>
      <c r="M101" s="316"/>
      <c r="N101" s="316"/>
      <c r="O101" s="317"/>
    </row>
    <row r="102" spans="2:15" x14ac:dyDescent="0.35">
      <c r="B102" s="280"/>
      <c r="C102" s="37">
        <v>2020</v>
      </c>
      <c r="D102" s="315"/>
      <c r="E102" s="316"/>
      <c r="F102" s="316"/>
      <c r="G102" s="316"/>
      <c r="H102" s="316"/>
      <c r="I102" s="316"/>
      <c r="J102" s="316"/>
      <c r="K102" s="316"/>
      <c r="L102" s="316"/>
      <c r="M102" s="316"/>
      <c r="N102" s="316"/>
      <c r="O102" s="317"/>
    </row>
    <row r="103" spans="2:15" x14ac:dyDescent="0.35">
      <c r="B103" s="280"/>
      <c r="C103" s="37">
        <v>2021</v>
      </c>
      <c r="D103" s="315"/>
      <c r="E103" s="316"/>
      <c r="F103" s="316"/>
      <c r="G103" s="316"/>
      <c r="H103" s="316"/>
      <c r="I103" s="316"/>
      <c r="J103" s="316"/>
      <c r="K103" s="316"/>
      <c r="L103" s="316"/>
      <c r="M103" s="316"/>
      <c r="N103" s="316"/>
      <c r="O103" s="317"/>
    </row>
    <row r="104" spans="2:15" x14ac:dyDescent="0.35">
      <c r="B104" s="280"/>
      <c r="C104" s="37">
        <v>2022</v>
      </c>
      <c r="D104" s="315"/>
      <c r="E104" s="316"/>
      <c r="F104" s="316"/>
      <c r="G104" s="316"/>
      <c r="H104" s="316"/>
      <c r="I104" s="316"/>
      <c r="J104" s="316"/>
      <c r="K104" s="316"/>
      <c r="L104" s="316"/>
      <c r="M104" s="316"/>
      <c r="N104" s="316"/>
      <c r="O104" s="317"/>
    </row>
    <row r="105" spans="2:15" ht="22" x14ac:dyDescent="0.35">
      <c r="B105" s="280"/>
      <c r="C105" s="37" t="s">
        <v>400</v>
      </c>
      <c r="D105" s="318"/>
      <c r="E105" s="319"/>
      <c r="F105" s="319"/>
      <c r="G105" s="319"/>
      <c r="H105" s="319"/>
      <c r="I105" s="319"/>
      <c r="J105" s="319"/>
      <c r="K105" s="319"/>
      <c r="L105" s="319"/>
      <c r="M105" s="319"/>
      <c r="N105" s="319"/>
      <c r="O105" s="320"/>
    </row>
    <row r="106" spans="2:15" x14ac:dyDescent="0.35">
      <c r="B106" s="280" t="s">
        <v>459</v>
      </c>
      <c r="C106" s="37" t="s">
        <v>398</v>
      </c>
      <c r="D106" s="281" t="s">
        <v>578</v>
      </c>
      <c r="E106" s="313"/>
      <c r="F106" s="313"/>
      <c r="G106" s="313"/>
      <c r="H106" s="313"/>
      <c r="I106" s="313"/>
      <c r="J106" s="313"/>
      <c r="K106" s="313"/>
      <c r="L106" s="313"/>
      <c r="M106" s="313"/>
      <c r="N106" s="313"/>
      <c r="O106" s="314"/>
    </row>
    <row r="107" spans="2:15" x14ac:dyDescent="0.35">
      <c r="B107" s="280"/>
      <c r="C107" s="37" t="s">
        <v>399</v>
      </c>
      <c r="D107" s="315"/>
      <c r="E107" s="316"/>
      <c r="F107" s="316"/>
      <c r="G107" s="316"/>
      <c r="H107" s="316"/>
      <c r="I107" s="316"/>
      <c r="J107" s="316"/>
      <c r="K107" s="316"/>
      <c r="L107" s="316"/>
      <c r="M107" s="316"/>
      <c r="N107" s="316"/>
      <c r="O107" s="317"/>
    </row>
    <row r="108" spans="2:15" x14ac:dyDescent="0.35">
      <c r="B108" s="280"/>
      <c r="C108" s="37">
        <v>2020</v>
      </c>
      <c r="D108" s="315"/>
      <c r="E108" s="316"/>
      <c r="F108" s="316"/>
      <c r="G108" s="316"/>
      <c r="H108" s="316"/>
      <c r="I108" s="316"/>
      <c r="J108" s="316"/>
      <c r="K108" s="316"/>
      <c r="L108" s="316"/>
      <c r="M108" s="316"/>
      <c r="N108" s="316"/>
      <c r="O108" s="317"/>
    </row>
    <row r="109" spans="2:15" x14ac:dyDescent="0.35">
      <c r="B109" s="280"/>
      <c r="C109" s="37">
        <v>2021</v>
      </c>
      <c r="D109" s="315"/>
      <c r="E109" s="316"/>
      <c r="F109" s="316"/>
      <c r="G109" s="316"/>
      <c r="H109" s="316"/>
      <c r="I109" s="316"/>
      <c r="J109" s="316"/>
      <c r="K109" s="316"/>
      <c r="L109" s="316"/>
      <c r="M109" s="316"/>
      <c r="N109" s="316"/>
      <c r="O109" s="317"/>
    </row>
    <row r="110" spans="2:15" x14ac:dyDescent="0.35">
      <c r="B110" s="280"/>
      <c r="C110" s="37">
        <v>2022</v>
      </c>
      <c r="D110" s="315"/>
      <c r="E110" s="316"/>
      <c r="F110" s="316"/>
      <c r="G110" s="316"/>
      <c r="H110" s="316"/>
      <c r="I110" s="316"/>
      <c r="J110" s="316"/>
      <c r="K110" s="316"/>
      <c r="L110" s="316"/>
      <c r="M110" s="316"/>
      <c r="N110" s="316"/>
      <c r="O110" s="317"/>
    </row>
    <row r="111" spans="2:15" ht="22" x14ac:dyDescent="0.35">
      <c r="B111" s="280"/>
      <c r="C111" s="37" t="s">
        <v>400</v>
      </c>
      <c r="D111" s="318"/>
      <c r="E111" s="319"/>
      <c r="F111" s="319"/>
      <c r="G111" s="319"/>
      <c r="H111" s="319"/>
      <c r="I111" s="319"/>
      <c r="J111" s="319"/>
      <c r="K111" s="319"/>
      <c r="L111" s="319"/>
      <c r="M111" s="319"/>
      <c r="N111" s="319"/>
      <c r="O111" s="320"/>
    </row>
    <row r="112" spans="2:15" x14ac:dyDescent="0.35">
      <c r="B112" s="280" t="s">
        <v>460</v>
      </c>
      <c r="C112" s="37" t="s">
        <v>398</v>
      </c>
      <c r="D112" s="281" t="s">
        <v>578</v>
      </c>
      <c r="E112" s="313"/>
      <c r="F112" s="313"/>
      <c r="G112" s="313"/>
      <c r="H112" s="313"/>
      <c r="I112" s="313"/>
      <c r="J112" s="313"/>
      <c r="K112" s="313"/>
      <c r="L112" s="313"/>
      <c r="M112" s="313"/>
      <c r="N112" s="313"/>
      <c r="O112" s="314"/>
    </row>
    <row r="113" spans="2:15" x14ac:dyDescent="0.35">
      <c r="B113" s="280"/>
      <c r="C113" s="37" t="s">
        <v>399</v>
      </c>
      <c r="D113" s="315"/>
      <c r="E113" s="316"/>
      <c r="F113" s="316"/>
      <c r="G113" s="316"/>
      <c r="H113" s="316"/>
      <c r="I113" s="316"/>
      <c r="J113" s="316"/>
      <c r="K113" s="316"/>
      <c r="L113" s="316"/>
      <c r="M113" s="316"/>
      <c r="N113" s="316"/>
      <c r="O113" s="317"/>
    </row>
    <row r="114" spans="2:15" x14ac:dyDescent="0.35">
      <c r="B114" s="280"/>
      <c r="C114" s="37">
        <v>2020</v>
      </c>
      <c r="D114" s="315"/>
      <c r="E114" s="316"/>
      <c r="F114" s="316"/>
      <c r="G114" s="316"/>
      <c r="H114" s="316"/>
      <c r="I114" s="316"/>
      <c r="J114" s="316"/>
      <c r="K114" s="316"/>
      <c r="L114" s="316"/>
      <c r="M114" s="316"/>
      <c r="N114" s="316"/>
      <c r="O114" s="317"/>
    </row>
    <row r="115" spans="2:15" x14ac:dyDescent="0.35">
      <c r="B115" s="280"/>
      <c r="C115" s="37">
        <v>2021</v>
      </c>
      <c r="D115" s="315"/>
      <c r="E115" s="316"/>
      <c r="F115" s="316"/>
      <c r="G115" s="316"/>
      <c r="H115" s="316"/>
      <c r="I115" s="316"/>
      <c r="J115" s="316"/>
      <c r="K115" s="316"/>
      <c r="L115" s="316"/>
      <c r="M115" s="316"/>
      <c r="N115" s="316"/>
      <c r="O115" s="317"/>
    </row>
    <row r="116" spans="2:15" x14ac:dyDescent="0.35">
      <c r="B116" s="280"/>
      <c r="C116" s="37">
        <v>2022</v>
      </c>
      <c r="D116" s="315"/>
      <c r="E116" s="316"/>
      <c r="F116" s="316"/>
      <c r="G116" s="316"/>
      <c r="H116" s="316"/>
      <c r="I116" s="316"/>
      <c r="J116" s="316"/>
      <c r="K116" s="316"/>
      <c r="L116" s="316"/>
      <c r="M116" s="316"/>
      <c r="N116" s="316"/>
      <c r="O116" s="317"/>
    </row>
    <row r="117" spans="2:15" ht="22" x14ac:dyDescent="0.35">
      <c r="B117" s="280"/>
      <c r="C117" s="37" t="s">
        <v>400</v>
      </c>
      <c r="D117" s="318"/>
      <c r="E117" s="319"/>
      <c r="F117" s="319"/>
      <c r="G117" s="319"/>
      <c r="H117" s="319"/>
      <c r="I117" s="319"/>
      <c r="J117" s="319"/>
      <c r="K117" s="319"/>
      <c r="L117" s="319"/>
      <c r="M117" s="319"/>
      <c r="N117" s="319"/>
      <c r="O117" s="320"/>
    </row>
    <row r="118" spans="2:15" x14ac:dyDescent="0.35">
      <c r="B118" s="280" t="s">
        <v>577</v>
      </c>
      <c r="C118" s="37" t="s">
        <v>398</v>
      </c>
      <c r="D118" s="281" t="s">
        <v>802</v>
      </c>
      <c r="E118" s="313"/>
      <c r="F118" s="313"/>
      <c r="G118" s="313"/>
      <c r="H118" s="313"/>
      <c r="I118" s="313"/>
      <c r="J118" s="313"/>
      <c r="K118" s="313"/>
      <c r="L118" s="313"/>
      <c r="M118" s="313"/>
      <c r="N118" s="313"/>
      <c r="O118" s="314"/>
    </row>
    <row r="119" spans="2:15" x14ac:dyDescent="0.35">
      <c r="B119" s="280"/>
      <c r="C119" s="37" t="s">
        <v>399</v>
      </c>
      <c r="D119" s="315"/>
      <c r="E119" s="316"/>
      <c r="F119" s="316"/>
      <c r="G119" s="316"/>
      <c r="H119" s="316"/>
      <c r="I119" s="316"/>
      <c r="J119" s="316"/>
      <c r="K119" s="316"/>
      <c r="L119" s="316"/>
      <c r="M119" s="316"/>
      <c r="N119" s="316"/>
      <c r="O119" s="317"/>
    </row>
    <row r="120" spans="2:15" x14ac:dyDescent="0.35">
      <c r="B120" s="280"/>
      <c r="C120" s="37">
        <v>2020</v>
      </c>
      <c r="D120" s="315"/>
      <c r="E120" s="316"/>
      <c r="F120" s="316"/>
      <c r="G120" s="316"/>
      <c r="H120" s="316"/>
      <c r="I120" s="316"/>
      <c r="J120" s="316"/>
      <c r="K120" s="316"/>
      <c r="L120" s="316"/>
      <c r="M120" s="316"/>
      <c r="N120" s="316"/>
      <c r="O120" s="317"/>
    </row>
    <row r="121" spans="2:15" x14ac:dyDescent="0.35">
      <c r="B121" s="280"/>
      <c r="C121" s="37">
        <v>2021</v>
      </c>
      <c r="D121" s="315"/>
      <c r="E121" s="316"/>
      <c r="F121" s="316"/>
      <c r="G121" s="316"/>
      <c r="H121" s="316"/>
      <c r="I121" s="316"/>
      <c r="J121" s="316"/>
      <c r="K121" s="316"/>
      <c r="L121" s="316"/>
      <c r="M121" s="316"/>
      <c r="N121" s="316"/>
      <c r="O121" s="317"/>
    </row>
    <row r="122" spans="2:15" x14ac:dyDescent="0.35">
      <c r="B122" s="280"/>
      <c r="C122" s="37">
        <v>2022</v>
      </c>
      <c r="D122" s="315"/>
      <c r="E122" s="316"/>
      <c r="F122" s="316"/>
      <c r="G122" s="316"/>
      <c r="H122" s="316"/>
      <c r="I122" s="316"/>
      <c r="J122" s="316"/>
      <c r="K122" s="316"/>
      <c r="L122" s="316"/>
      <c r="M122" s="316"/>
      <c r="N122" s="316"/>
      <c r="O122" s="317"/>
    </row>
    <row r="123" spans="2:15" ht="22" x14ac:dyDescent="0.35">
      <c r="B123" s="280"/>
      <c r="C123" s="37" t="s">
        <v>400</v>
      </c>
      <c r="D123" s="318"/>
      <c r="E123" s="319"/>
      <c r="F123" s="319"/>
      <c r="G123" s="319"/>
      <c r="H123" s="319"/>
      <c r="I123" s="319"/>
      <c r="J123" s="319"/>
      <c r="K123" s="319"/>
      <c r="L123" s="319"/>
      <c r="M123" s="319"/>
      <c r="N123" s="319"/>
      <c r="O123" s="320"/>
    </row>
    <row r="124" spans="2:15" ht="15" customHeight="1" x14ac:dyDescent="0.35">
      <c r="B124" s="280" t="s">
        <v>461</v>
      </c>
      <c r="C124" s="37" t="s">
        <v>398</v>
      </c>
      <c r="D124" s="49" t="s">
        <v>51</v>
      </c>
      <c r="E124" s="49" t="s">
        <v>51</v>
      </c>
      <c r="F124" s="290" t="s">
        <v>102</v>
      </c>
      <c r="G124" s="290" t="s">
        <v>51</v>
      </c>
      <c r="H124" s="290" t="s">
        <v>51</v>
      </c>
      <c r="I124" s="290" t="s">
        <v>586</v>
      </c>
      <c r="J124" s="290" t="s">
        <v>514</v>
      </c>
      <c r="K124" s="290" t="s">
        <v>573</v>
      </c>
      <c r="L124" s="290" t="s">
        <v>51</v>
      </c>
      <c r="M124" s="290" t="s">
        <v>529</v>
      </c>
      <c r="N124" s="290" t="s">
        <v>571</v>
      </c>
      <c r="O124" s="290" t="s">
        <v>517</v>
      </c>
    </row>
    <row r="125" spans="2:15" x14ac:dyDescent="0.35">
      <c r="B125" s="280"/>
      <c r="C125" s="37" t="s">
        <v>399</v>
      </c>
      <c r="D125" s="61">
        <v>3195</v>
      </c>
      <c r="E125" s="62">
        <v>1195.9003755868544</v>
      </c>
      <c r="F125" s="308"/>
      <c r="G125" s="308"/>
      <c r="H125" s="308"/>
      <c r="I125" s="308"/>
      <c r="J125" s="308"/>
      <c r="K125" s="308"/>
      <c r="L125" s="308"/>
      <c r="M125" s="308"/>
      <c r="N125" s="308"/>
      <c r="O125" s="308"/>
    </row>
    <row r="126" spans="2:15" x14ac:dyDescent="0.35">
      <c r="B126" s="280"/>
      <c r="C126" s="37">
        <v>2020</v>
      </c>
      <c r="D126" s="61">
        <v>3195</v>
      </c>
      <c r="E126" s="62">
        <v>1029.4137715179968</v>
      </c>
      <c r="F126" s="308"/>
      <c r="G126" s="308"/>
      <c r="H126" s="308"/>
      <c r="I126" s="308"/>
      <c r="J126" s="308"/>
      <c r="K126" s="308"/>
      <c r="L126" s="308"/>
      <c r="M126" s="308"/>
      <c r="N126" s="308"/>
      <c r="O126" s="308"/>
    </row>
    <row r="127" spans="2:15" x14ac:dyDescent="0.35">
      <c r="B127" s="280"/>
      <c r="C127" s="37">
        <v>2021</v>
      </c>
      <c r="D127" s="61">
        <v>3195</v>
      </c>
      <c r="E127" s="62">
        <v>1029.4137715179968</v>
      </c>
      <c r="F127" s="308"/>
      <c r="G127" s="308"/>
      <c r="H127" s="308"/>
      <c r="I127" s="308"/>
      <c r="J127" s="308"/>
      <c r="K127" s="308"/>
      <c r="L127" s="308"/>
      <c r="M127" s="308"/>
      <c r="N127" s="308"/>
      <c r="O127" s="308"/>
    </row>
    <row r="128" spans="2:15" x14ac:dyDescent="0.35">
      <c r="B128" s="280"/>
      <c r="C128" s="37">
        <v>2022</v>
      </c>
      <c r="D128" s="61">
        <v>3195</v>
      </c>
      <c r="E128" s="62">
        <v>1029.4137715179968</v>
      </c>
      <c r="F128" s="308"/>
      <c r="G128" s="308"/>
      <c r="H128" s="308"/>
      <c r="I128" s="308"/>
      <c r="J128" s="308"/>
      <c r="K128" s="308"/>
      <c r="L128" s="308"/>
      <c r="M128" s="308"/>
      <c r="N128" s="308"/>
      <c r="O128" s="308"/>
    </row>
    <row r="129" spans="2:15" ht="22" x14ac:dyDescent="0.35">
      <c r="B129" s="280"/>
      <c r="C129" s="37" t="s">
        <v>400</v>
      </c>
      <c r="D129" s="61">
        <f>D128+D127+D126</f>
        <v>9585</v>
      </c>
      <c r="E129" s="62">
        <v>1029.4137715179966</v>
      </c>
      <c r="F129" s="309"/>
      <c r="G129" s="309"/>
      <c r="H129" s="309"/>
      <c r="I129" s="309"/>
      <c r="J129" s="309"/>
      <c r="K129" s="309"/>
      <c r="L129" s="309"/>
      <c r="M129" s="309"/>
      <c r="N129" s="309"/>
      <c r="O129" s="309"/>
    </row>
    <row r="130" spans="2:15" ht="15" customHeight="1" x14ac:dyDescent="0.35">
      <c r="B130" s="280" t="s">
        <v>760</v>
      </c>
      <c r="C130" s="37" t="s">
        <v>398</v>
      </c>
      <c r="D130" s="49" t="s">
        <v>51</v>
      </c>
      <c r="E130" s="49" t="s">
        <v>51</v>
      </c>
      <c r="F130" s="290" t="s">
        <v>51</v>
      </c>
      <c r="G130" s="290" t="s">
        <v>51</v>
      </c>
      <c r="H130" s="290" t="s">
        <v>51</v>
      </c>
      <c r="I130" s="290" t="s">
        <v>586</v>
      </c>
      <c r="J130" s="290" t="s">
        <v>514</v>
      </c>
      <c r="K130" s="290" t="s">
        <v>573</v>
      </c>
      <c r="L130" s="290" t="s">
        <v>51</v>
      </c>
      <c r="M130" s="290" t="s">
        <v>529</v>
      </c>
      <c r="N130" s="290" t="s">
        <v>571</v>
      </c>
      <c r="O130" s="290" t="s">
        <v>572</v>
      </c>
    </row>
    <row r="131" spans="2:15" x14ac:dyDescent="0.35">
      <c r="B131" s="280"/>
      <c r="C131" s="37" t="s">
        <v>399</v>
      </c>
      <c r="D131" s="51">
        <v>14132</v>
      </c>
      <c r="E131" s="50">
        <f>1770144/D131</f>
        <v>125.25785451457685</v>
      </c>
      <c r="F131" s="308"/>
      <c r="G131" s="308"/>
      <c r="H131" s="308"/>
      <c r="I131" s="308"/>
      <c r="J131" s="308"/>
      <c r="K131" s="308"/>
      <c r="L131" s="308"/>
      <c r="M131" s="308"/>
      <c r="N131" s="308"/>
      <c r="O131" s="291"/>
    </row>
    <row r="132" spans="2:15" x14ac:dyDescent="0.35">
      <c r="B132" s="280"/>
      <c r="C132" s="37">
        <v>2020</v>
      </c>
      <c r="D132" s="51">
        <v>15060</v>
      </c>
      <c r="E132" s="50">
        <f>1770144/D132</f>
        <v>117.5394422310757</v>
      </c>
      <c r="F132" s="308"/>
      <c r="G132" s="308"/>
      <c r="H132" s="308"/>
      <c r="I132" s="308"/>
      <c r="J132" s="308"/>
      <c r="K132" s="308"/>
      <c r="L132" s="308"/>
      <c r="M132" s="308"/>
      <c r="N132" s="308"/>
      <c r="O132" s="291"/>
    </row>
    <row r="133" spans="2:15" x14ac:dyDescent="0.35">
      <c r="B133" s="280"/>
      <c r="C133" s="37">
        <v>2021</v>
      </c>
      <c r="D133" s="51">
        <v>15060</v>
      </c>
      <c r="E133" s="50">
        <f t="shared" ref="E133:E134" si="1">1770144/D133</f>
        <v>117.5394422310757</v>
      </c>
      <c r="F133" s="308"/>
      <c r="G133" s="308"/>
      <c r="H133" s="308"/>
      <c r="I133" s="308"/>
      <c r="J133" s="308"/>
      <c r="K133" s="308"/>
      <c r="L133" s="308"/>
      <c r="M133" s="308"/>
      <c r="N133" s="308"/>
      <c r="O133" s="291"/>
    </row>
    <row r="134" spans="2:15" x14ac:dyDescent="0.35">
      <c r="B134" s="280"/>
      <c r="C134" s="37">
        <v>2022</v>
      </c>
      <c r="D134" s="51">
        <v>15060</v>
      </c>
      <c r="E134" s="50">
        <f t="shared" si="1"/>
        <v>117.5394422310757</v>
      </c>
      <c r="F134" s="308"/>
      <c r="G134" s="308"/>
      <c r="H134" s="308"/>
      <c r="I134" s="308"/>
      <c r="J134" s="308"/>
      <c r="K134" s="308"/>
      <c r="L134" s="308"/>
      <c r="M134" s="308"/>
      <c r="N134" s="308"/>
      <c r="O134" s="291"/>
    </row>
    <row r="135" spans="2:15" ht="22" x14ac:dyDescent="0.35">
      <c r="B135" s="280"/>
      <c r="C135" s="37" t="s">
        <v>400</v>
      </c>
      <c r="D135" s="61">
        <f>D134+D133+D132</f>
        <v>45180</v>
      </c>
      <c r="E135" s="70">
        <f t="shared" ref="E135" si="2">((D132*E132)+(D133*E133)+(D134*E134))/D135</f>
        <v>117.5394422310757</v>
      </c>
      <c r="F135" s="309"/>
      <c r="G135" s="309"/>
      <c r="H135" s="309"/>
      <c r="I135" s="309"/>
      <c r="J135" s="309"/>
      <c r="K135" s="309"/>
      <c r="L135" s="309"/>
      <c r="M135" s="309"/>
      <c r="N135" s="309"/>
      <c r="O135" s="292"/>
    </row>
    <row r="136" spans="2:15" s="40" customFormat="1" x14ac:dyDescent="0.35"/>
    <row r="137" spans="2:15" s="40" customFormat="1" x14ac:dyDescent="0.35"/>
    <row r="138" spans="2:15" s="40" customFormat="1" x14ac:dyDescent="0.35">
      <c r="D138" s="195"/>
    </row>
    <row r="139" spans="2:15" s="40" customFormat="1" x14ac:dyDescent="0.35"/>
    <row r="140" spans="2:15" s="40" customFormat="1" x14ac:dyDescent="0.35"/>
    <row r="141" spans="2:15" s="40" customFormat="1" x14ac:dyDescent="0.35"/>
    <row r="142" spans="2:15" s="40" customFormat="1" x14ac:dyDescent="0.35"/>
    <row r="143" spans="2:15" s="40" customFormat="1" x14ac:dyDescent="0.35"/>
    <row r="144" spans="2:15" s="40" customFormat="1" x14ac:dyDescent="0.35"/>
    <row r="145" s="40" customFormat="1" x14ac:dyDescent="0.35"/>
    <row r="146" s="40" customFormat="1" x14ac:dyDescent="0.35"/>
    <row r="147" s="40" customFormat="1" x14ac:dyDescent="0.35"/>
  </sheetData>
  <mergeCells count="100">
    <mergeCell ref="B112:B117"/>
    <mergeCell ref="D100:O105"/>
    <mergeCell ref="B118:B123"/>
    <mergeCell ref="B124:B129"/>
    <mergeCell ref="B130:B135"/>
    <mergeCell ref="F124:F129"/>
    <mergeCell ref="G124:G129"/>
    <mergeCell ref="H124:H129"/>
    <mergeCell ref="I124:I129"/>
    <mergeCell ref="J124:J129"/>
    <mergeCell ref="K124:K129"/>
    <mergeCell ref="L124:L129"/>
    <mergeCell ref="M124:M129"/>
    <mergeCell ref="N124:N129"/>
    <mergeCell ref="O124:O129"/>
    <mergeCell ref="F130:F135"/>
    <mergeCell ref="B94:B99"/>
    <mergeCell ref="D88:O93"/>
    <mergeCell ref="D94:O99"/>
    <mergeCell ref="B100:B105"/>
    <mergeCell ref="B106:B111"/>
    <mergeCell ref="B88:B93"/>
    <mergeCell ref="D70:O75"/>
    <mergeCell ref="D76:O81"/>
    <mergeCell ref="D82:D87"/>
    <mergeCell ref="E82:E87"/>
    <mergeCell ref="F82:F87"/>
    <mergeCell ref="G82:G87"/>
    <mergeCell ref="H82:H87"/>
    <mergeCell ref="I82:I87"/>
    <mergeCell ref="J82:J87"/>
    <mergeCell ref="K82:K87"/>
    <mergeCell ref="L82:L87"/>
    <mergeCell ref="M82:M87"/>
    <mergeCell ref="N82:N87"/>
    <mergeCell ref="O82:O87"/>
    <mergeCell ref="B64:B69"/>
    <mergeCell ref="B70:B75"/>
    <mergeCell ref="B76:B81"/>
    <mergeCell ref="D64:O69"/>
    <mergeCell ref="B82:B87"/>
    <mergeCell ref="B46:B51"/>
    <mergeCell ref="B52:B57"/>
    <mergeCell ref="B58:B63"/>
    <mergeCell ref="D46:O51"/>
    <mergeCell ref="D52:O57"/>
    <mergeCell ref="B28:B33"/>
    <mergeCell ref="B34:B39"/>
    <mergeCell ref="B40:B45"/>
    <mergeCell ref="D28:O33"/>
    <mergeCell ref="D34:O39"/>
    <mergeCell ref="E40:E45"/>
    <mergeCell ref="F40:F45"/>
    <mergeCell ref="G40:G45"/>
    <mergeCell ref="H40:H45"/>
    <mergeCell ref="I40:I45"/>
    <mergeCell ref="J40:J45"/>
    <mergeCell ref="K40:K45"/>
    <mergeCell ref="L40:L45"/>
    <mergeCell ref="M40:M45"/>
    <mergeCell ref="N40:N45"/>
    <mergeCell ref="O40:O45"/>
    <mergeCell ref="M16:M21"/>
    <mergeCell ref="N16:N21"/>
    <mergeCell ref="O16:O21"/>
    <mergeCell ref="K22:K27"/>
    <mergeCell ref="L22:L27"/>
    <mergeCell ref="M22:M27"/>
    <mergeCell ref="H16:H21"/>
    <mergeCell ref="I16:I21"/>
    <mergeCell ref="J16:J21"/>
    <mergeCell ref="K16:K21"/>
    <mergeCell ref="L16:L21"/>
    <mergeCell ref="B10:B15"/>
    <mergeCell ref="B16:B21"/>
    <mergeCell ref="B22:B27"/>
    <mergeCell ref="F16:F21"/>
    <mergeCell ref="G16:G21"/>
    <mergeCell ref="D10:O15"/>
    <mergeCell ref="F22:F27"/>
    <mergeCell ref="G22:G27"/>
    <mergeCell ref="H22:H27"/>
    <mergeCell ref="I22:I27"/>
    <mergeCell ref="O130:O135"/>
    <mergeCell ref="D58:O63"/>
    <mergeCell ref="N22:N27"/>
    <mergeCell ref="O22:O27"/>
    <mergeCell ref="D118:O123"/>
    <mergeCell ref="D106:O111"/>
    <mergeCell ref="D112:O117"/>
    <mergeCell ref="D40:D45"/>
    <mergeCell ref="G130:G135"/>
    <mergeCell ref="H130:H135"/>
    <mergeCell ref="I130:I135"/>
    <mergeCell ref="J130:J135"/>
    <mergeCell ref="J22:J27"/>
    <mergeCell ref="K130:K135"/>
    <mergeCell ref="L130:L135"/>
    <mergeCell ref="M130:M135"/>
    <mergeCell ref="N130:N135"/>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Y86"/>
  <sheetViews>
    <sheetView topLeftCell="A25" zoomScaleNormal="100" workbookViewId="0">
      <selection activeCell="L22" sqref="L22:L27"/>
    </sheetView>
  </sheetViews>
  <sheetFormatPr defaultRowHeight="14.5" x14ac:dyDescent="0.35"/>
  <cols>
    <col min="1" max="1" width="9.1796875" style="40"/>
    <col min="2" max="2" width="17.54296875" customWidth="1"/>
    <col min="3" max="3" width="12.7265625" customWidth="1"/>
    <col min="16" max="51" width="9.1796875" style="40"/>
  </cols>
  <sheetData>
    <row r="1" spans="1:16" s="40" customFormat="1" ht="26" x14ac:dyDescent="0.6">
      <c r="A1" s="42" t="s">
        <v>125</v>
      </c>
    </row>
    <row r="2" spans="1:16" s="40" customFormat="1" x14ac:dyDescent="0.35">
      <c r="A2" s="40" t="s">
        <v>0</v>
      </c>
      <c r="B2" s="43" t="s">
        <v>79</v>
      </c>
      <c r="C2" s="40" t="s">
        <v>409</v>
      </c>
    </row>
    <row r="3" spans="1:16" s="40" customFormat="1" x14ac:dyDescent="0.35">
      <c r="A3" s="44" t="s">
        <v>76</v>
      </c>
      <c r="B3" s="43">
        <v>26</v>
      </c>
      <c r="C3" s="40" t="s">
        <v>462</v>
      </c>
    </row>
    <row r="4" spans="1:16" s="40" customFormat="1" x14ac:dyDescent="0.35"/>
    <row r="5" spans="1:16" s="40" customFormat="1" x14ac:dyDescent="0.35"/>
    <row r="6" spans="1:16" s="40" customFormat="1" x14ac:dyDescent="0.35"/>
    <row r="7" spans="1:16" s="40" customFormat="1" x14ac:dyDescent="0.35"/>
    <row r="8" spans="1:16" s="40" customFormat="1" x14ac:dyDescent="0.35"/>
    <row r="9" spans="1:16" ht="68" x14ac:dyDescent="0.35">
      <c r="A9" s="46"/>
      <c r="B9" s="36" t="s">
        <v>385</v>
      </c>
      <c r="C9" s="36" t="s">
        <v>386</v>
      </c>
      <c r="D9" s="36" t="s">
        <v>387</v>
      </c>
      <c r="E9" s="36" t="s">
        <v>388</v>
      </c>
      <c r="F9" s="36" t="s">
        <v>417</v>
      </c>
      <c r="G9" s="36" t="s">
        <v>390</v>
      </c>
      <c r="H9" s="36" t="s">
        <v>391</v>
      </c>
      <c r="I9" s="36" t="s">
        <v>392</v>
      </c>
      <c r="J9" s="36" t="s">
        <v>393</v>
      </c>
      <c r="K9" s="36" t="s">
        <v>416</v>
      </c>
      <c r="L9" s="36" t="s">
        <v>395</v>
      </c>
      <c r="M9" s="36" t="s">
        <v>396</v>
      </c>
      <c r="N9" s="36" t="s">
        <v>397</v>
      </c>
      <c r="O9" s="36" t="s">
        <v>113</v>
      </c>
      <c r="P9" s="46"/>
    </row>
    <row r="10" spans="1:16" ht="15" customHeight="1" x14ac:dyDescent="0.35">
      <c r="B10" s="280" t="s">
        <v>463</v>
      </c>
      <c r="C10" s="37" t="s">
        <v>398</v>
      </c>
      <c r="D10" s="68" t="s">
        <v>51</v>
      </c>
      <c r="E10" s="68" t="s">
        <v>51</v>
      </c>
      <c r="F10" s="290" t="s">
        <v>593</v>
      </c>
      <c r="G10" s="290" t="s">
        <v>51</v>
      </c>
      <c r="H10" s="290" t="s">
        <v>51</v>
      </c>
      <c r="I10" s="290" t="s">
        <v>592</v>
      </c>
      <c r="J10" s="290" t="s">
        <v>516</v>
      </c>
      <c r="K10" s="290" t="s">
        <v>51</v>
      </c>
      <c r="L10" s="310" t="s">
        <v>786</v>
      </c>
      <c r="M10" s="290" t="s">
        <v>594</v>
      </c>
      <c r="N10" s="290" t="s">
        <v>51</v>
      </c>
      <c r="O10" s="290" t="s">
        <v>596</v>
      </c>
      <c r="P10" s="47"/>
    </row>
    <row r="11" spans="1:16" x14ac:dyDescent="0.35">
      <c r="B11" s="280"/>
      <c r="C11" s="37" t="s">
        <v>399</v>
      </c>
      <c r="D11" s="51">
        <v>1200</v>
      </c>
      <c r="E11" s="50">
        <v>0</v>
      </c>
      <c r="F11" s="308"/>
      <c r="G11" s="308"/>
      <c r="H11" s="308"/>
      <c r="I11" s="308"/>
      <c r="J11" s="308"/>
      <c r="K11" s="308"/>
      <c r="L11" s="311"/>
      <c r="M11" s="308"/>
      <c r="N11" s="308"/>
      <c r="O11" s="308"/>
      <c r="P11" s="47"/>
    </row>
    <row r="12" spans="1:16" x14ac:dyDescent="0.35">
      <c r="B12" s="280"/>
      <c r="C12" s="37">
        <v>2020</v>
      </c>
      <c r="D12" s="51">
        <v>1200</v>
      </c>
      <c r="E12" s="50">
        <v>500</v>
      </c>
      <c r="F12" s="308"/>
      <c r="G12" s="308"/>
      <c r="H12" s="308"/>
      <c r="I12" s="308"/>
      <c r="J12" s="308"/>
      <c r="K12" s="308"/>
      <c r="L12" s="311"/>
      <c r="M12" s="308"/>
      <c r="N12" s="308"/>
      <c r="O12" s="308"/>
      <c r="P12" s="47"/>
    </row>
    <row r="13" spans="1:16" x14ac:dyDescent="0.35">
      <c r="B13" s="280"/>
      <c r="C13" s="37">
        <v>2021</v>
      </c>
      <c r="D13" s="51">
        <v>1200</v>
      </c>
      <c r="E13" s="50">
        <v>500</v>
      </c>
      <c r="F13" s="308"/>
      <c r="G13" s="308"/>
      <c r="H13" s="308"/>
      <c r="I13" s="308"/>
      <c r="J13" s="308"/>
      <c r="K13" s="308"/>
      <c r="L13" s="311"/>
      <c r="M13" s="308"/>
      <c r="N13" s="308"/>
      <c r="O13" s="308"/>
      <c r="P13" s="47"/>
    </row>
    <row r="14" spans="1:16" x14ac:dyDescent="0.35">
      <c r="B14" s="280"/>
      <c r="C14" s="37">
        <v>2022</v>
      </c>
      <c r="D14" s="51">
        <v>1200</v>
      </c>
      <c r="E14" s="50">
        <v>500</v>
      </c>
      <c r="F14" s="308"/>
      <c r="G14" s="308"/>
      <c r="H14" s="308"/>
      <c r="I14" s="308"/>
      <c r="J14" s="308"/>
      <c r="K14" s="308"/>
      <c r="L14" s="311"/>
      <c r="M14" s="308"/>
      <c r="N14" s="308"/>
      <c r="O14" s="308"/>
      <c r="P14" s="47"/>
    </row>
    <row r="15" spans="1:16" ht="22" x14ac:dyDescent="0.35">
      <c r="B15" s="280"/>
      <c r="C15" s="37" t="s">
        <v>400</v>
      </c>
      <c r="D15" s="69">
        <f>SUM(D12:D14)</f>
        <v>3600</v>
      </c>
      <c r="E15" s="62">
        <f>((D12*E12)+(D13*E13)+(D14*E14))/D15</f>
        <v>500</v>
      </c>
      <c r="F15" s="309"/>
      <c r="G15" s="309"/>
      <c r="H15" s="309"/>
      <c r="I15" s="309"/>
      <c r="J15" s="309"/>
      <c r="K15" s="309"/>
      <c r="L15" s="312"/>
      <c r="M15" s="309"/>
      <c r="N15" s="309"/>
      <c r="O15" s="309"/>
      <c r="P15" s="47"/>
    </row>
    <row r="16" spans="1:16" x14ac:dyDescent="0.35">
      <c r="B16" s="280" t="s">
        <v>464</v>
      </c>
      <c r="C16" s="37" t="s">
        <v>398</v>
      </c>
      <c r="D16" s="281" t="s">
        <v>803</v>
      </c>
      <c r="E16" s="313"/>
      <c r="F16" s="313"/>
      <c r="G16" s="313"/>
      <c r="H16" s="313"/>
      <c r="I16" s="313"/>
      <c r="J16" s="313"/>
      <c r="K16" s="313"/>
      <c r="L16" s="313"/>
      <c r="M16" s="313"/>
      <c r="N16" s="313"/>
      <c r="O16" s="314"/>
      <c r="P16" s="47"/>
    </row>
    <row r="17" spans="2:16" x14ac:dyDescent="0.35">
      <c r="B17" s="280"/>
      <c r="C17" s="37" t="s">
        <v>399</v>
      </c>
      <c r="D17" s="315"/>
      <c r="E17" s="316"/>
      <c r="F17" s="316"/>
      <c r="G17" s="316"/>
      <c r="H17" s="316"/>
      <c r="I17" s="316"/>
      <c r="J17" s="316"/>
      <c r="K17" s="316"/>
      <c r="L17" s="316"/>
      <c r="M17" s="316"/>
      <c r="N17" s="316"/>
      <c r="O17" s="317"/>
      <c r="P17" s="47"/>
    </row>
    <row r="18" spans="2:16" x14ac:dyDescent="0.35">
      <c r="B18" s="280"/>
      <c r="C18" s="37">
        <v>2020</v>
      </c>
      <c r="D18" s="315"/>
      <c r="E18" s="316"/>
      <c r="F18" s="316"/>
      <c r="G18" s="316"/>
      <c r="H18" s="316"/>
      <c r="I18" s="316"/>
      <c r="J18" s="316"/>
      <c r="K18" s="316"/>
      <c r="L18" s="316"/>
      <c r="M18" s="316"/>
      <c r="N18" s="316"/>
      <c r="O18" s="317"/>
      <c r="P18" s="47"/>
    </row>
    <row r="19" spans="2:16" x14ac:dyDescent="0.35">
      <c r="B19" s="280"/>
      <c r="C19" s="37">
        <v>2021</v>
      </c>
      <c r="D19" s="315"/>
      <c r="E19" s="316"/>
      <c r="F19" s="316"/>
      <c r="G19" s="316"/>
      <c r="H19" s="316"/>
      <c r="I19" s="316"/>
      <c r="J19" s="316"/>
      <c r="K19" s="316"/>
      <c r="L19" s="316"/>
      <c r="M19" s="316"/>
      <c r="N19" s="316"/>
      <c r="O19" s="317"/>
      <c r="P19" s="47"/>
    </row>
    <row r="20" spans="2:16" x14ac:dyDescent="0.35">
      <c r="B20" s="280"/>
      <c r="C20" s="37">
        <v>2022</v>
      </c>
      <c r="D20" s="315"/>
      <c r="E20" s="316"/>
      <c r="F20" s="316"/>
      <c r="G20" s="316"/>
      <c r="H20" s="316"/>
      <c r="I20" s="316"/>
      <c r="J20" s="316"/>
      <c r="K20" s="316"/>
      <c r="L20" s="316"/>
      <c r="M20" s="316"/>
      <c r="N20" s="316"/>
      <c r="O20" s="317"/>
      <c r="P20" s="47"/>
    </row>
    <row r="21" spans="2:16" ht="22" x14ac:dyDescent="0.35">
      <c r="B21" s="280"/>
      <c r="C21" s="37" t="s">
        <v>400</v>
      </c>
      <c r="D21" s="318"/>
      <c r="E21" s="319"/>
      <c r="F21" s="319"/>
      <c r="G21" s="319"/>
      <c r="H21" s="319"/>
      <c r="I21" s="319"/>
      <c r="J21" s="319"/>
      <c r="K21" s="319"/>
      <c r="L21" s="319"/>
      <c r="M21" s="319"/>
      <c r="N21" s="319"/>
      <c r="O21" s="320"/>
      <c r="P21" s="47"/>
    </row>
    <row r="22" spans="2:16" ht="15" customHeight="1" x14ac:dyDescent="0.35">
      <c r="B22" s="280" t="s">
        <v>465</v>
      </c>
      <c r="C22" s="37" t="s">
        <v>398</v>
      </c>
      <c r="D22" s="68" t="s">
        <v>51</v>
      </c>
      <c r="E22" s="68" t="s">
        <v>51</v>
      </c>
      <c r="F22" s="290" t="s">
        <v>597</v>
      </c>
      <c r="G22" s="290" t="s">
        <v>51</v>
      </c>
      <c r="H22" s="290" t="s">
        <v>51</v>
      </c>
      <c r="I22" s="290" t="s">
        <v>592</v>
      </c>
      <c r="J22" s="290" t="s">
        <v>516</v>
      </c>
      <c r="K22" s="290" t="s">
        <v>51</v>
      </c>
      <c r="L22" s="310" t="s">
        <v>786</v>
      </c>
      <c r="M22" s="290" t="s">
        <v>594</v>
      </c>
      <c r="N22" s="290" t="s">
        <v>51</v>
      </c>
      <c r="O22" s="290" t="s">
        <v>596</v>
      </c>
      <c r="P22" s="47"/>
    </row>
    <row r="23" spans="2:16" x14ac:dyDescent="0.35">
      <c r="B23" s="280"/>
      <c r="C23" s="37" t="s">
        <v>399</v>
      </c>
      <c r="D23" s="61">
        <v>1200</v>
      </c>
      <c r="E23" s="62">
        <v>0</v>
      </c>
      <c r="F23" s="308"/>
      <c r="G23" s="308"/>
      <c r="H23" s="308"/>
      <c r="I23" s="308"/>
      <c r="J23" s="308"/>
      <c r="K23" s="308"/>
      <c r="L23" s="311"/>
      <c r="M23" s="308"/>
      <c r="N23" s="308"/>
      <c r="O23" s="308"/>
      <c r="P23" s="47"/>
    </row>
    <row r="24" spans="2:16" x14ac:dyDescent="0.35">
      <c r="B24" s="280"/>
      <c r="C24" s="37">
        <v>2020</v>
      </c>
      <c r="D24" s="61">
        <v>1200</v>
      </c>
      <c r="E24" s="62">
        <f>1100000/D24</f>
        <v>916.66666666666663</v>
      </c>
      <c r="F24" s="308"/>
      <c r="G24" s="308"/>
      <c r="H24" s="308"/>
      <c r="I24" s="308"/>
      <c r="J24" s="308"/>
      <c r="K24" s="308"/>
      <c r="L24" s="311"/>
      <c r="M24" s="308"/>
      <c r="N24" s="308"/>
      <c r="O24" s="308"/>
      <c r="P24" s="47"/>
    </row>
    <row r="25" spans="2:16" x14ac:dyDescent="0.35">
      <c r="B25" s="280"/>
      <c r="C25" s="37">
        <v>2021</v>
      </c>
      <c r="D25" s="61">
        <v>1200</v>
      </c>
      <c r="E25" s="62">
        <f>1100000/D25</f>
        <v>916.66666666666663</v>
      </c>
      <c r="F25" s="308"/>
      <c r="G25" s="308"/>
      <c r="H25" s="308"/>
      <c r="I25" s="308"/>
      <c r="J25" s="308"/>
      <c r="K25" s="308"/>
      <c r="L25" s="311"/>
      <c r="M25" s="308"/>
      <c r="N25" s="308"/>
      <c r="O25" s="308"/>
      <c r="P25" s="47"/>
    </row>
    <row r="26" spans="2:16" x14ac:dyDescent="0.35">
      <c r="B26" s="280"/>
      <c r="C26" s="37">
        <v>2022</v>
      </c>
      <c r="D26" s="61">
        <v>1200</v>
      </c>
      <c r="E26" s="62">
        <f>1100000/D26</f>
        <v>916.66666666666663</v>
      </c>
      <c r="F26" s="308"/>
      <c r="G26" s="308"/>
      <c r="H26" s="308"/>
      <c r="I26" s="308"/>
      <c r="J26" s="308"/>
      <c r="K26" s="308"/>
      <c r="L26" s="311"/>
      <c r="M26" s="308"/>
      <c r="N26" s="308"/>
      <c r="O26" s="308"/>
      <c r="P26" s="47"/>
    </row>
    <row r="27" spans="2:16" ht="22" x14ac:dyDescent="0.35">
      <c r="B27" s="280"/>
      <c r="C27" s="37" t="s">
        <v>400</v>
      </c>
      <c r="D27" s="61">
        <f>D26+D25+D24</f>
        <v>3600</v>
      </c>
      <c r="E27" s="62">
        <f>((D24*E24)+(D25*E25)+(D26*E26))/D27</f>
        <v>916.66666666666663</v>
      </c>
      <c r="F27" s="309"/>
      <c r="G27" s="309"/>
      <c r="H27" s="309"/>
      <c r="I27" s="309"/>
      <c r="J27" s="309"/>
      <c r="K27" s="309"/>
      <c r="L27" s="312"/>
      <c r="M27" s="309"/>
      <c r="N27" s="309"/>
      <c r="O27" s="309"/>
      <c r="P27" s="47"/>
    </row>
    <row r="28" spans="2:16" x14ac:dyDescent="0.35">
      <c r="B28" s="280" t="s">
        <v>466</v>
      </c>
      <c r="C28" s="37" t="s">
        <v>398</v>
      </c>
      <c r="D28" s="281" t="s">
        <v>513</v>
      </c>
      <c r="E28" s="313"/>
      <c r="F28" s="313"/>
      <c r="G28" s="313"/>
      <c r="H28" s="313"/>
      <c r="I28" s="313"/>
      <c r="J28" s="313"/>
      <c r="K28" s="313"/>
      <c r="L28" s="313"/>
      <c r="M28" s="313"/>
      <c r="N28" s="313"/>
      <c r="O28" s="314"/>
    </row>
    <row r="29" spans="2:16" x14ac:dyDescent="0.35">
      <c r="B29" s="280"/>
      <c r="C29" s="37" t="s">
        <v>399</v>
      </c>
      <c r="D29" s="315"/>
      <c r="E29" s="316"/>
      <c r="F29" s="316"/>
      <c r="G29" s="316"/>
      <c r="H29" s="316"/>
      <c r="I29" s="316"/>
      <c r="J29" s="316"/>
      <c r="K29" s="316"/>
      <c r="L29" s="316"/>
      <c r="M29" s="316"/>
      <c r="N29" s="316"/>
      <c r="O29" s="317"/>
    </row>
    <row r="30" spans="2:16" x14ac:dyDescent="0.35">
      <c r="B30" s="280"/>
      <c r="C30" s="37">
        <v>2020</v>
      </c>
      <c r="D30" s="315"/>
      <c r="E30" s="316"/>
      <c r="F30" s="316"/>
      <c r="G30" s="316"/>
      <c r="H30" s="316"/>
      <c r="I30" s="316"/>
      <c r="J30" s="316"/>
      <c r="K30" s="316"/>
      <c r="L30" s="316"/>
      <c r="M30" s="316"/>
      <c r="N30" s="316"/>
      <c r="O30" s="317"/>
    </row>
    <row r="31" spans="2:16" x14ac:dyDescent="0.35">
      <c r="B31" s="280"/>
      <c r="C31" s="37">
        <v>2021</v>
      </c>
      <c r="D31" s="315"/>
      <c r="E31" s="316"/>
      <c r="F31" s="316"/>
      <c r="G31" s="316"/>
      <c r="H31" s="316"/>
      <c r="I31" s="316"/>
      <c r="J31" s="316"/>
      <c r="K31" s="316"/>
      <c r="L31" s="316"/>
      <c r="M31" s="316"/>
      <c r="N31" s="316"/>
      <c r="O31" s="317"/>
    </row>
    <row r="32" spans="2:16" x14ac:dyDescent="0.35">
      <c r="B32" s="280"/>
      <c r="C32" s="37">
        <v>2022</v>
      </c>
      <c r="D32" s="315"/>
      <c r="E32" s="316"/>
      <c r="F32" s="316"/>
      <c r="G32" s="316"/>
      <c r="H32" s="316"/>
      <c r="I32" s="316"/>
      <c r="J32" s="316"/>
      <c r="K32" s="316"/>
      <c r="L32" s="316"/>
      <c r="M32" s="316"/>
      <c r="N32" s="316"/>
      <c r="O32" s="317"/>
    </row>
    <row r="33" spans="2:15" ht="22" x14ac:dyDescent="0.35">
      <c r="B33" s="280"/>
      <c r="C33" s="37" t="s">
        <v>400</v>
      </c>
      <c r="D33" s="318"/>
      <c r="E33" s="319"/>
      <c r="F33" s="319"/>
      <c r="G33" s="319"/>
      <c r="H33" s="319"/>
      <c r="I33" s="319"/>
      <c r="J33" s="319"/>
      <c r="K33" s="319"/>
      <c r="L33" s="319"/>
      <c r="M33" s="319"/>
      <c r="N33" s="319"/>
      <c r="O33" s="320"/>
    </row>
    <row r="34" spans="2:15" ht="15" customHeight="1" x14ac:dyDescent="0.35">
      <c r="B34" s="280" t="s">
        <v>467</v>
      </c>
      <c r="C34" s="37" t="s">
        <v>398</v>
      </c>
      <c r="D34" s="281" t="s">
        <v>591</v>
      </c>
      <c r="E34" s="313"/>
      <c r="F34" s="313"/>
      <c r="G34" s="313"/>
      <c r="H34" s="313"/>
      <c r="I34" s="313"/>
      <c r="J34" s="313"/>
      <c r="K34" s="313"/>
      <c r="L34" s="313"/>
      <c r="M34" s="313"/>
      <c r="N34" s="313"/>
      <c r="O34" s="314"/>
    </row>
    <row r="35" spans="2:15" x14ac:dyDescent="0.35">
      <c r="B35" s="280"/>
      <c r="C35" s="37" t="s">
        <v>399</v>
      </c>
      <c r="D35" s="315"/>
      <c r="E35" s="316"/>
      <c r="F35" s="316"/>
      <c r="G35" s="316"/>
      <c r="H35" s="316"/>
      <c r="I35" s="316"/>
      <c r="J35" s="316"/>
      <c r="K35" s="316"/>
      <c r="L35" s="316"/>
      <c r="M35" s="316"/>
      <c r="N35" s="316"/>
      <c r="O35" s="317"/>
    </row>
    <row r="36" spans="2:15" x14ac:dyDescent="0.35">
      <c r="B36" s="280"/>
      <c r="C36" s="37">
        <v>2020</v>
      </c>
      <c r="D36" s="315"/>
      <c r="E36" s="316"/>
      <c r="F36" s="316"/>
      <c r="G36" s="316"/>
      <c r="H36" s="316"/>
      <c r="I36" s="316"/>
      <c r="J36" s="316"/>
      <c r="K36" s="316"/>
      <c r="L36" s="316"/>
      <c r="M36" s="316"/>
      <c r="N36" s="316"/>
      <c r="O36" s="317"/>
    </row>
    <row r="37" spans="2:15" x14ac:dyDescent="0.35">
      <c r="B37" s="280"/>
      <c r="C37" s="37">
        <v>2021</v>
      </c>
      <c r="D37" s="315"/>
      <c r="E37" s="316"/>
      <c r="F37" s="316"/>
      <c r="G37" s="316"/>
      <c r="H37" s="316"/>
      <c r="I37" s="316"/>
      <c r="J37" s="316"/>
      <c r="K37" s="316"/>
      <c r="L37" s="316"/>
      <c r="M37" s="316"/>
      <c r="N37" s="316"/>
      <c r="O37" s="317"/>
    </row>
    <row r="38" spans="2:15" x14ac:dyDescent="0.35">
      <c r="B38" s="280"/>
      <c r="C38" s="37">
        <v>2022</v>
      </c>
      <c r="D38" s="315"/>
      <c r="E38" s="316"/>
      <c r="F38" s="316"/>
      <c r="G38" s="316"/>
      <c r="H38" s="316"/>
      <c r="I38" s="316"/>
      <c r="J38" s="316"/>
      <c r="K38" s="316"/>
      <c r="L38" s="316"/>
      <c r="M38" s="316"/>
      <c r="N38" s="316"/>
      <c r="O38" s="317"/>
    </row>
    <row r="39" spans="2:15" ht="22" x14ac:dyDescent="0.35">
      <c r="B39" s="280"/>
      <c r="C39" s="37" t="s">
        <v>400</v>
      </c>
      <c r="D39" s="318"/>
      <c r="E39" s="319"/>
      <c r="F39" s="319"/>
      <c r="G39" s="319"/>
      <c r="H39" s="319"/>
      <c r="I39" s="319"/>
      <c r="J39" s="319"/>
      <c r="K39" s="319"/>
      <c r="L39" s="319"/>
      <c r="M39" s="319"/>
      <c r="N39" s="319"/>
      <c r="O39" s="320"/>
    </row>
    <row r="40" spans="2:15" ht="15" customHeight="1" x14ac:dyDescent="0.35">
      <c r="B40" s="323" t="s">
        <v>468</v>
      </c>
      <c r="C40" s="37" t="s">
        <v>398</v>
      </c>
      <c r="D40" s="68" t="s">
        <v>51</v>
      </c>
      <c r="E40" s="68" t="s">
        <v>51</v>
      </c>
      <c r="F40" s="290" t="s">
        <v>51</v>
      </c>
      <c r="G40" s="290" t="s">
        <v>51</v>
      </c>
      <c r="H40" s="290" t="s">
        <v>51</v>
      </c>
      <c r="I40" s="290" t="s">
        <v>595</v>
      </c>
      <c r="J40" s="290" t="s">
        <v>516</v>
      </c>
      <c r="K40" s="290" t="s">
        <v>51</v>
      </c>
      <c r="L40" s="310" t="s">
        <v>786</v>
      </c>
      <c r="M40" s="290" t="s">
        <v>594</v>
      </c>
      <c r="N40" s="290" t="s">
        <v>51</v>
      </c>
      <c r="O40" s="290" t="s">
        <v>596</v>
      </c>
    </row>
    <row r="41" spans="2:15" x14ac:dyDescent="0.35">
      <c r="B41" s="324"/>
      <c r="C41" s="37" t="s">
        <v>399</v>
      </c>
      <c r="D41" s="61">
        <v>1200</v>
      </c>
      <c r="E41" s="62">
        <f t="shared" ref="E41:E44" si="0">(300000)/D41</f>
        <v>250</v>
      </c>
      <c r="F41" s="308"/>
      <c r="G41" s="308"/>
      <c r="H41" s="308"/>
      <c r="I41" s="308"/>
      <c r="J41" s="308"/>
      <c r="K41" s="308"/>
      <c r="L41" s="311"/>
      <c r="M41" s="308"/>
      <c r="N41" s="308"/>
      <c r="O41" s="308"/>
    </row>
    <row r="42" spans="2:15" x14ac:dyDescent="0.35">
      <c r="B42" s="324"/>
      <c r="C42" s="37">
        <v>2020</v>
      </c>
      <c r="D42" s="61">
        <v>1200</v>
      </c>
      <c r="E42" s="62">
        <f t="shared" si="0"/>
        <v>250</v>
      </c>
      <c r="F42" s="308"/>
      <c r="G42" s="308"/>
      <c r="H42" s="308"/>
      <c r="I42" s="308"/>
      <c r="J42" s="308"/>
      <c r="K42" s="308"/>
      <c r="L42" s="311"/>
      <c r="M42" s="308"/>
      <c r="N42" s="308"/>
      <c r="O42" s="308"/>
    </row>
    <row r="43" spans="2:15" x14ac:dyDescent="0.35">
      <c r="B43" s="324"/>
      <c r="C43" s="37">
        <v>2021</v>
      </c>
      <c r="D43" s="61">
        <v>1200</v>
      </c>
      <c r="E43" s="62">
        <f t="shared" si="0"/>
        <v>250</v>
      </c>
      <c r="F43" s="308"/>
      <c r="G43" s="308"/>
      <c r="H43" s="308"/>
      <c r="I43" s="308"/>
      <c r="J43" s="308"/>
      <c r="K43" s="308"/>
      <c r="L43" s="311"/>
      <c r="M43" s="308"/>
      <c r="N43" s="308"/>
      <c r="O43" s="308"/>
    </row>
    <row r="44" spans="2:15" x14ac:dyDescent="0.35">
      <c r="B44" s="324"/>
      <c r="C44" s="37">
        <v>2022</v>
      </c>
      <c r="D44" s="61">
        <v>1200</v>
      </c>
      <c r="E44" s="62">
        <f t="shared" si="0"/>
        <v>250</v>
      </c>
      <c r="F44" s="308"/>
      <c r="G44" s="308"/>
      <c r="H44" s="308"/>
      <c r="I44" s="308"/>
      <c r="J44" s="308"/>
      <c r="K44" s="308"/>
      <c r="L44" s="311"/>
      <c r="M44" s="308"/>
      <c r="N44" s="308"/>
      <c r="O44" s="308"/>
    </row>
    <row r="45" spans="2:15" ht="22" x14ac:dyDescent="0.35">
      <c r="B45" s="325"/>
      <c r="C45" s="37" t="s">
        <v>400</v>
      </c>
      <c r="D45" s="61">
        <f>D44+D43+D42</f>
        <v>3600</v>
      </c>
      <c r="E45" s="62">
        <f>((D42*E42)+(D43*E43)+(D44*E44))/D45</f>
        <v>250</v>
      </c>
      <c r="F45" s="309"/>
      <c r="G45" s="309"/>
      <c r="H45" s="309"/>
      <c r="I45" s="309"/>
      <c r="J45" s="309"/>
      <c r="K45" s="309"/>
      <c r="L45" s="312"/>
      <c r="M45" s="309"/>
      <c r="N45" s="309"/>
      <c r="O45" s="309"/>
    </row>
    <row r="46" spans="2:15" x14ac:dyDescent="0.35">
      <c r="B46" s="280" t="s">
        <v>407</v>
      </c>
      <c r="C46" s="37" t="s">
        <v>398</v>
      </c>
      <c r="D46" s="281" t="s">
        <v>512</v>
      </c>
      <c r="E46" s="313"/>
      <c r="F46" s="313"/>
      <c r="G46" s="313"/>
      <c r="H46" s="313"/>
      <c r="I46" s="313"/>
      <c r="J46" s="313"/>
      <c r="K46" s="313"/>
      <c r="L46" s="313"/>
      <c r="M46" s="313"/>
      <c r="N46" s="313"/>
      <c r="O46" s="314"/>
    </row>
    <row r="47" spans="2:15" x14ac:dyDescent="0.35">
      <c r="B47" s="280"/>
      <c r="C47" s="37" t="s">
        <v>399</v>
      </c>
      <c r="D47" s="315"/>
      <c r="E47" s="316"/>
      <c r="F47" s="316"/>
      <c r="G47" s="316"/>
      <c r="H47" s="316"/>
      <c r="I47" s="316"/>
      <c r="J47" s="316"/>
      <c r="K47" s="316"/>
      <c r="L47" s="316"/>
      <c r="M47" s="316"/>
      <c r="N47" s="316"/>
      <c r="O47" s="317"/>
    </row>
    <row r="48" spans="2:15" x14ac:dyDescent="0.35">
      <c r="B48" s="280"/>
      <c r="C48" s="37">
        <v>2020</v>
      </c>
      <c r="D48" s="315"/>
      <c r="E48" s="316"/>
      <c r="F48" s="316"/>
      <c r="G48" s="316"/>
      <c r="H48" s="316"/>
      <c r="I48" s="316"/>
      <c r="J48" s="316"/>
      <c r="K48" s="316"/>
      <c r="L48" s="316"/>
      <c r="M48" s="316"/>
      <c r="N48" s="316"/>
      <c r="O48" s="317"/>
    </row>
    <row r="49" spans="2:15" x14ac:dyDescent="0.35">
      <c r="B49" s="280"/>
      <c r="C49" s="37">
        <v>2021</v>
      </c>
      <c r="D49" s="315"/>
      <c r="E49" s="316"/>
      <c r="F49" s="316"/>
      <c r="G49" s="316"/>
      <c r="H49" s="316"/>
      <c r="I49" s="316"/>
      <c r="J49" s="316"/>
      <c r="K49" s="316"/>
      <c r="L49" s="316"/>
      <c r="M49" s="316"/>
      <c r="N49" s="316"/>
      <c r="O49" s="317"/>
    </row>
    <row r="50" spans="2:15" x14ac:dyDescent="0.35">
      <c r="B50" s="280"/>
      <c r="C50" s="37">
        <v>2022</v>
      </c>
      <c r="D50" s="315"/>
      <c r="E50" s="316"/>
      <c r="F50" s="316"/>
      <c r="G50" s="316"/>
      <c r="H50" s="316"/>
      <c r="I50" s="316"/>
      <c r="J50" s="316"/>
      <c r="K50" s="316"/>
      <c r="L50" s="316"/>
      <c r="M50" s="316"/>
      <c r="N50" s="316"/>
      <c r="O50" s="317"/>
    </row>
    <row r="51" spans="2:15" ht="22" x14ac:dyDescent="0.35">
      <c r="B51" s="280"/>
      <c r="C51" s="37" t="s">
        <v>400</v>
      </c>
      <c r="D51" s="318"/>
      <c r="E51" s="319"/>
      <c r="F51" s="319"/>
      <c r="G51" s="319"/>
      <c r="H51" s="319"/>
      <c r="I51" s="319"/>
      <c r="J51" s="319"/>
      <c r="K51" s="319"/>
      <c r="L51" s="319"/>
      <c r="M51" s="319"/>
      <c r="N51" s="319"/>
      <c r="O51" s="320"/>
    </row>
    <row r="52" spans="2:15" s="40" customFormat="1" x14ac:dyDescent="0.35"/>
    <row r="53" spans="2:15" s="40" customFormat="1" x14ac:dyDescent="0.35"/>
    <row r="54" spans="2:15" s="40" customFormat="1" x14ac:dyDescent="0.35"/>
    <row r="55" spans="2:15" s="40" customFormat="1" x14ac:dyDescent="0.35"/>
    <row r="56" spans="2:15" s="40" customFormat="1" x14ac:dyDescent="0.35"/>
    <row r="57" spans="2:15" s="40" customFormat="1" x14ac:dyDescent="0.35"/>
    <row r="58" spans="2:15" s="40" customFormat="1" x14ac:dyDescent="0.35"/>
    <row r="59" spans="2:15" s="40" customFormat="1" x14ac:dyDescent="0.35"/>
    <row r="60" spans="2:15" s="40" customFormat="1" x14ac:dyDescent="0.35"/>
    <row r="61" spans="2:15" s="40" customFormat="1" x14ac:dyDescent="0.35"/>
    <row r="62" spans="2:15" s="40" customFormat="1" x14ac:dyDescent="0.35"/>
    <row r="63" spans="2:15" s="40" customFormat="1" x14ac:dyDescent="0.35"/>
    <row r="64" spans="2:15" s="40" customFormat="1" x14ac:dyDescent="0.35"/>
    <row r="65" s="40" customFormat="1" x14ac:dyDescent="0.35"/>
    <row r="66" s="40" customFormat="1" x14ac:dyDescent="0.35"/>
    <row r="67" s="40" customFormat="1" x14ac:dyDescent="0.35"/>
    <row r="68" s="40" customFormat="1" x14ac:dyDescent="0.35"/>
    <row r="69" s="40" customFormat="1" x14ac:dyDescent="0.35"/>
    <row r="70" s="40" customFormat="1" x14ac:dyDescent="0.35"/>
    <row r="71" s="40" customFormat="1" x14ac:dyDescent="0.35"/>
    <row r="72" s="40" customFormat="1" x14ac:dyDescent="0.35"/>
    <row r="73" s="40" customFormat="1" x14ac:dyDescent="0.35"/>
    <row r="74" s="40" customFormat="1" x14ac:dyDescent="0.35"/>
    <row r="75" s="40" customFormat="1" x14ac:dyDescent="0.35"/>
    <row r="76" s="40" customFormat="1" x14ac:dyDescent="0.35"/>
    <row r="77" s="40" customFormat="1" x14ac:dyDescent="0.35"/>
    <row r="78" s="40" customFormat="1" x14ac:dyDescent="0.35"/>
    <row r="79" s="40" customFormat="1" x14ac:dyDescent="0.35"/>
    <row r="80" s="40" customFormat="1" x14ac:dyDescent="0.35"/>
    <row r="81" s="40" customFormat="1" x14ac:dyDescent="0.35"/>
    <row r="82" s="40" customFormat="1" x14ac:dyDescent="0.35"/>
    <row r="83" s="40" customFormat="1" x14ac:dyDescent="0.35"/>
    <row r="84" s="40" customFormat="1" x14ac:dyDescent="0.35"/>
    <row r="85" s="40" customFormat="1" x14ac:dyDescent="0.35"/>
    <row r="86" s="40" customFormat="1" x14ac:dyDescent="0.35"/>
  </sheetData>
  <mergeCells count="41">
    <mergeCell ref="J22:J27"/>
    <mergeCell ref="M40:M45"/>
    <mergeCell ref="N40:N45"/>
    <mergeCell ref="O40:O45"/>
    <mergeCell ref="K40:K45"/>
    <mergeCell ref="M22:M27"/>
    <mergeCell ref="N22:N27"/>
    <mergeCell ref="O22:O27"/>
    <mergeCell ref="K22:K27"/>
    <mergeCell ref="B46:B51"/>
    <mergeCell ref="B40:B45"/>
    <mergeCell ref="B28:B33"/>
    <mergeCell ref="B34:B39"/>
    <mergeCell ref="D46:O51"/>
    <mergeCell ref="D28:O33"/>
    <mergeCell ref="D34:O39"/>
    <mergeCell ref="F40:F45"/>
    <mergeCell ref="G40:G45"/>
    <mergeCell ref="H40:H45"/>
    <mergeCell ref="I40:I45"/>
    <mergeCell ref="L22:L27"/>
    <mergeCell ref="F22:F27"/>
    <mergeCell ref="L40:L45"/>
    <mergeCell ref="J40:J45"/>
    <mergeCell ref="L10:L15"/>
    <mergeCell ref="J10:J15"/>
    <mergeCell ref="K10:K15"/>
    <mergeCell ref="M10:M15"/>
    <mergeCell ref="D16:O21"/>
    <mergeCell ref="N10:N15"/>
    <mergeCell ref="O10:O15"/>
    <mergeCell ref="B10:B15"/>
    <mergeCell ref="B16:B21"/>
    <mergeCell ref="B22:B27"/>
    <mergeCell ref="F10:F15"/>
    <mergeCell ref="I10:I15"/>
    <mergeCell ref="G10:G15"/>
    <mergeCell ref="H10:H15"/>
    <mergeCell ref="I22:I27"/>
    <mergeCell ref="G22:G27"/>
    <mergeCell ref="H22:H27"/>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39"/>
  <sheetViews>
    <sheetView topLeftCell="A10" workbookViewId="0">
      <selection activeCell="V15" sqref="V15"/>
    </sheetView>
  </sheetViews>
  <sheetFormatPr defaultRowHeight="14.5" x14ac:dyDescent="0.35"/>
  <cols>
    <col min="1" max="1" width="9.1796875" style="40"/>
    <col min="2" max="2" width="17.54296875" customWidth="1"/>
    <col min="3" max="3" width="12.7265625" customWidth="1"/>
    <col min="16" max="26" width="9.1796875" style="40"/>
  </cols>
  <sheetData>
    <row r="1" spans="1:16" s="40" customFormat="1" ht="26" x14ac:dyDescent="0.6">
      <c r="A1" s="42" t="s">
        <v>125</v>
      </c>
    </row>
    <row r="2" spans="1:16" s="40" customFormat="1" x14ac:dyDescent="0.35">
      <c r="A2" s="40" t="s">
        <v>0</v>
      </c>
      <c r="B2" s="43" t="s">
        <v>80</v>
      </c>
      <c r="C2" s="40" t="s">
        <v>409</v>
      </c>
    </row>
    <row r="3" spans="1:16" s="40" customFormat="1" x14ac:dyDescent="0.35">
      <c r="A3" s="44" t="s">
        <v>76</v>
      </c>
      <c r="B3" s="43">
        <v>27</v>
      </c>
      <c r="C3" s="40" t="s">
        <v>469</v>
      </c>
    </row>
    <row r="4" spans="1:16" s="40" customFormat="1" x14ac:dyDescent="0.35"/>
    <row r="5" spans="1:16" s="40" customFormat="1" x14ac:dyDescent="0.35"/>
    <row r="6" spans="1:16" s="40" customFormat="1" x14ac:dyDescent="0.35"/>
    <row r="7" spans="1:16" s="40" customFormat="1" x14ac:dyDescent="0.35"/>
    <row r="8" spans="1:16" s="40" customFormat="1" x14ac:dyDescent="0.35"/>
    <row r="9" spans="1:16" ht="68" x14ac:dyDescent="0.35">
      <c r="A9" s="46"/>
      <c r="B9" s="36" t="s">
        <v>385</v>
      </c>
      <c r="C9" s="36" t="s">
        <v>386</v>
      </c>
      <c r="D9" s="36" t="s">
        <v>387</v>
      </c>
      <c r="E9" s="36" t="s">
        <v>388</v>
      </c>
      <c r="F9" s="36" t="s">
        <v>417</v>
      </c>
      <c r="G9" s="36" t="s">
        <v>390</v>
      </c>
      <c r="H9" s="36" t="s">
        <v>391</v>
      </c>
      <c r="I9" s="36" t="s">
        <v>392</v>
      </c>
      <c r="J9" s="36" t="s">
        <v>393</v>
      </c>
      <c r="K9" s="36" t="s">
        <v>416</v>
      </c>
      <c r="L9" s="36" t="s">
        <v>395</v>
      </c>
      <c r="M9" s="36" t="s">
        <v>396</v>
      </c>
      <c r="N9" s="36" t="s">
        <v>397</v>
      </c>
      <c r="O9" s="36" t="s">
        <v>113</v>
      </c>
      <c r="P9" s="46"/>
    </row>
    <row r="10" spans="1:16" ht="15" customHeight="1" x14ac:dyDescent="0.35">
      <c r="B10" s="280" t="s">
        <v>833</v>
      </c>
      <c r="C10" s="37" t="s">
        <v>398</v>
      </c>
      <c r="D10" s="281" t="s">
        <v>834</v>
      </c>
      <c r="E10" s="313"/>
      <c r="F10" s="313"/>
      <c r="G10" s="313"/>
      <c r="H10" s="313"/>
      <c r="I10" s="313"/>
      <c r="J10" s="313"/>
      <c r="K10" s="313"/>
      <c r="L10" s="313"/>
      <c r="M10" s="313"/>
      <c r="N10" s="313"/>
      <c r="O10" s="314"/>
      <c r="P10" s="47"/>
    </row>
    <row r="11" spans="1:16" x14ac:dyDescent="0.35">
      <c r="B11" s="280"/>
      <c r="C11" s="37" t="s">
        <v>399</v>
      </c>
      <c r="D11" s="315"/>
      <c r="E11" s="316"/>
      <c r="F11" s="316"/>
      <c r="G11" s="316"/>
      <c r="H11" s="316"/>
      <c r="I11" s="316"/>
      <c r="J11" s="316"/>
      <c r="K11" s="316"/>
      <c r="L11" s="316"/>
      <c r="M11" s="316"/>
      <c r="N11" s="316"/>
      <c r="O11" s="317"/>
      <c r="P11" s="47"/>
    </row>
    <row r="12" spans="1:16" x14ac:dyDescent="0.35">
      <c r="B12" s="280"/>
      <c r="C12" s="37">
        <v>2020</v>
      </c>
      <c r="D12" s="315"/>
      <c r="E12" s="316"/>
      <c r="F12" s="316"/>
      <c r="G12" s="316"/>
      <c r="H12" s="316"/>
      <c r="I12" s="316"/>
      <c r="J12" s="316"/>
      <c r="K12" s="316"/>
      <c r="L12" s="316"/>
      <c r="M12" s="316"/>
      <c r="N12" s="316"/>
      <c r="O12" s="317"/>
      <c r="P12" s="47"/>
    </row>
    <row r="13" spans="1:16" x14ac:dyDescent="0.35">
      <c r="B13" s="280"/>
      <c r="C13" s="37">
        <v>2021</v>
      </c>
      <c r="D13" s="315"/>
      <c r="E13" s="316"/>
      <c r="F13" s="316"/>
      <c r="G13" s="316"/>
      <c r="H13" s="316"/>
      <c r="I13" s="316"/>
      <c r="J13" s="316"/>
      <c r="K13" s="316"/>
      <c r="L13" s="316"/>
      <c r="M13" s="316"/>
      <c r="N13" s="316"/>
      <c r="O13" s="317"/>
      <c r="P13" s="47"/>
    </row>
    <row r="14" spans="1:16" x14ac:dyDescent="0.35">
      <c r="B14" s="280"/>
      <c r="C14" s="37">
        <v>2022</v>
      </c>
      <c r="D14" s="315"/>
      <c r="E14" s="316"/>
      <c r="F14" s="316"/>
      <c r="G14" s="316"/>
      <c r="H14" s="316"/>
      <c r="I14" s="316"/>
      <c r="J14" s="316"/>
      <c r="K14" s="316"/>
      <c r="L14" s="316"/>
      <c r="M14" s="316"/>
      <c r="N14" s="316"/>
      <c r="O14" s="317"/>
      <c r="P14" s="47"/>
    </row>
    <row r="15" spans="1:16" ht="22" x14ac:dyDescent="0.35">
      <c r="B15" s="280"/>
      <c r="C15" s="37" t="s">
        <v>400</v>
      </c>
      <c r="D15" s="318"/>
      <c r="E15" s="319"/>
      <c r="F15" s="319"/>
      <c r="G15" s="319"/>
      <c r="H15" s="319"/>
      <c r="I15" s="319"/>
      <c r="J15" s="319"/>
      <c r="K15" s="319"/>
      <c r="L15" s="319"/>
      <c r="M15" s="319"/>
      <c r="N15" s="319"/>
      <c r="O15" s="320"/>
      <c r="P15" s="47"/>
    </row>
    <row r="16" spans="1:16" x14ac:dyDescent="0.35">
      <c r="B16" s="280" t="s">
        <v>835</v>
      </c>
      <c r="C16" s="37" t="s">
        <v>398</v>
      </c>
      <c r="D16" s="281" t="s">
        <v>836</v>
      </c>
      <c r="E16" s="313"/>
      <c r="F16" s="313"/>
      <c r="G16" s="313"/>
      <c r="H16" s="313"/>
      <c r="I16" s="313"/>
      <c r="J16" s="313"/>
      <c r="K16" s="313"/>
      <c r="L16" s="313"/>
      <c r="M16" s="313"/>
      <c r="N16" s="313"/>
      <c r="O16" s="314"/>
      <c r="P16" s="47"/>
    </row>
    <row r="17" spans="2:16" x14ac:dyDescent="0.35">
      <c r="B17" s="280"/>
      <c r="C17" s="37" t="s">
        <v>399</v>
      </c>
      <c r="D17" s="315"/>
      <c r="E17" s="316"/>
      <c r="F17" s="316"/>
      <c r="G17" s="316"/>
      <c r="H17" s="316"/>
      <c r="I17" s="316"/>
      <c r="J17" s="316"/>
      <c r="K17" s="316"/>
      <c r="L17" s="316"/>
      <c r="M17" s="316"/>
      <c r="N17" s="316"/>
      <c r="O17" s="317"/>
      <c r="P17" s="47"/>
    </row>
    <row r="18" spans="2:16" x14ac:dyDescent="0.35">
      <c r="B18" s="280"/>
      <c r="C18" s="37">
        <v>2020</v>
      </c>
      <c r="D18" s="315"/>
      <c r="E18" s="316"/>
      <c r="F18" s="316"/>
      <c r="G18" s="316"/>
      <c r="H18" s="316"/>
      <c r="I18" s="316"/>
      <c r="J18" s="316"/>
      <c r="K18" s="316"/>
      <c r="L18" s="316"/>
      <c r="M18" s="316"/>
      <c r="N18" s="316"/>
      <c r="O18" s="317"/>
      <c r="P18" s="47"/>
    </row>
    <row r="19" spans="2:16" x14ac:dyDescent="0.35">
      <c r="B19" s="280"/>
      <c r="C19" s="37">
        <v>2021</v>
      </c>
      <c r="D19" s="315"/>
      <c r="E19" s="316"/>
      <c r="F19" s="316"/>
      <c r="G19" s="316"/>
      <c r="H19" s="316"/>
      <c r="I19" s="316"/>
      <c r="J19" s="316"/>
      <c r="K19" s="316"/>
      <c r="L19" s="316"/>
      <c r="M19" s="316"/>
      <c r="N19" s="316"/>
      <c r="O19" s="317"/>
      <c r="P19" s="47"/>
    </row>
    <row r="20" spans="2:16" x14ac:dyDescent="0.35">
      <c r="B20" s="280"/>
      <c r="C20" s="37">
        <v>2022</v>
      </c>
      <c r="D20" s="315"/>
      <c r="E20" s="316"/>
      <c r="F20" s="316"/>
      <c r="G20" s="316"/>
      <c r="H20" s="316"/>
      <c r="I20" s="316"/>
      <c r="J20" s="316"/>
      <c r="K20" s="316"/>
      <c r="L20" s="316"/>
      <c r="M20" s="316"/>
      <c r="N20" s="316"/>
      <c r="O20" s="317"/>
      <c r="P20" s="47"/>
    </row>
    <row r="21" spans="2:16" ht="22" x14ac:dyDescent="0.35">
      <c r="B21" s="280"/>
      <c r="C21" s="37" t="s">
        <v>400</v>
      </c>
      <c r="D21" s="318"/>
      <c r="E21" s="319"/>
      <c r="F21" s="319"/>
      <c r="G21" s="319"/>
      <c r="H21" s="319"/>
      <c r="I21" s="319"/>
      <c r="J21" s="319"/>
      <c r="K21" s="319"/>
      <c r="L21" s="319"/>
      <c r="M21" s="319"/>
      <c r="N21" s="319"/>
      <c r="O21" s="320"/>
      <c r="P21" s="47"/>
    </row>
    <row r="22" spans="2:16" x14ac:dyDescent="0.35">
      <c r="B22" s="280" t="s">
        <v>837</v>
      </c>
      <c r="C22" s="37" t="s">
        <v>398</v>
      </c>
      <c r="D22" s="281" t="s">
        <v>838</v>
      </c>
      <c r="E22" s="313"/>
      <c r="F22" s="313"/>
      <c r="G22" s="313"/>
      <c r="H22" s="313"/>
      <c r="I22" s="313"/>
      <c r="J22" s="313"/>
      <c r="K22" s="313"/>
      <c r="L22" s="313"/>
      <c r="M22" s="313"/>
      <c r="N22" s="313"/>
      <c r="O22" s="314"/>
      <c r="P22" s="47"/>
    </row>
    <row r="23" spans="2:16" x14ac:dyDescent="0.35">
      <c r="B23" s="280"/>
      <c r="C23" s="37" t="s">
        <v>399</v>
      </c>
      <c r="D23" s="315"/>
      <c r="E23" s="316"/>
      <c r="F23" s="316"/>
      <c r="G23" s="316"/>
      <c r="H23" s="316"/>
      <c r="I23" s="316"/>
      <c r="J23" s="316"/>
      <c r="K23" s="316"/>
      <c r="L23" s="316"/>
      <c r="M23" s="316"/>
      <c r="N23" s="316"/>
      <c r="O23" s="317"/>
      <c r="P23" s="47"/>
    </row>
    <row r="24" spans="2:16" x14ac:dyDescent="0.35">
      <c r="B24" s="280"/>
      <c r="C24" s="37">
        <v>2020</v>
      </c>
      <c r="D24" s="315"/>
      <c r="E24" s="316"/>
      <c r="F24" s="316"/>
      <c r="G24" s="316"/>
      <c r="H24" s="316"/>
      <c r="I24" s="316"/>
      <c r="J24" s="316"/>
      <c r="K24" s="316"/>
      <c r="L24" s="316"/>
      <c r="M24" s="316"/>
      <c r="N24" s="316"/>
      <c r="O24" s="317"/>
      <c r="P24" s="47"/>
    </row>
    <row r="25" spans="2:16" x14ac:dyDescent="0.35">
      <c r="B25" s="280"/>
      <c r="C25" s="37">
        <v>2021</v>
      </c>
      <c r="D25" s="315"/>
      <c r="E25" s="316"/>
      <c r="F25" s="316"/>
      <c r="G25" s="316"/>
      <c r="H25" s="316"/>
      <c r="I25" s="316"/>
      <c r="J25" s="316"/>
      <c r="K25" s="316"/>
      <c r="L25" s="316"/>
      <c r="M25" s="316"/>
      <c r="N25" s="316"/>
      <c r="O25" s="317"/>
      <c r="P25" s="47"/>
    </row>
    <row r="26" spans="2:16" x14ac:dyDescent="0.35">
      <c r="B26" s="280"/>
      <c r="C26" s="37">
        <v>2022</v>
      </c>
      <c r="D26" s="315"/>
      <c r="E26" s="316"/>
      <c r="F26" s="316"/>
      <c r="G26" s="316"/>
      <c r="H26" s="316"/>
      <c r="I26" s="316"/>
      <c r="J26" s="316"/>
      <c r="K26" s="316"/>
      <c r="L26" s="316"/>
      <c r="M26" s="316"/>
      <c r="N26" s="316"/>
      <c r="O26" s="317"/>
      <c r="P26" s="47"/>
    </row>
    <row r="27" spans="2:16" ht="22" x14ac:dyDescent="0.35">
      <c r="B27" s="280"/>
      <c r="C27" s="37" t="s">
        <v>400</v>
      </c>
      <c r="D27" s="318"/>
      <c r="E27" s="319"/>
      <c r="F27" s="319"/>
      <c r="G27" s="319"/>
      <c r="H27" s="319"/>
      <c r="I27" s="319"/>
      <c r="J27" s="319"/>
      <c r="K27" s="319"/>
      <c r="L27" s="319"/>
      <c r="M27" s="319"/>
      <c r="N27" s="319"/>
      <c r="O27" s="320"/>
      <c r="P27" s="47"/>
    </row>
    <row r="28" spans="2:16" x14ac:dyDescent="0.35">
      <c r="B28" s="280" t="s">
        <v>470</v>
      </c>
      <c r="C28" s="37" t="s">
        <v>398</v>
      </c>
      <c r="D28" s="281" t="s">
        <v>839</v>
      </c>
      <c r="E28" s="313"/>
      <c r="F28" s="313"/>
      <c r="G28" s="313"/>
      <c r="H28" s="313"/>
      <c r="I28" s="313"/>
      <c r="J28" s="313"/>
      <c r="K28" s="313"/>
      <c r="L28" s="313"/>
      <c r="M28" s="313"/>
      <c r="N28" s="313"/>
      <c r="O28" s="314"/>
    </row>
    <row r="29" spans="2:16" x14ac:dyDescent="0.35">
      <c r="B29" s="280"/>
      <c r="C29" s="37" t="s">
        <v>399</v>
      </c>
      <c r="D29" s="315"/>
      <c r="E29" s="316"/>
      <c r="F29" s="316"/>
      <c r="G29" s="316"/>
      <c r="H29" s="316"/>
      <c r="I29" s="316"/>
      <c r="J29" s="316"/>
      <c r="K29" s="316"/>
      <c r="L29" s="316"/>
      <c r="M29" s="316"/>
      <c r="N29" s="316"/>
      <c r="O29" s="317"/>
    </row>
    <row r="30" spans="2:16" x14ac:dyDescent="0.35">
      <c r="B30" s="280"/>
      <c r="C30" s="37">
        <v>2020</v>
      </c>
      <c r="D30" s="315"/>
      <c r="E30" s="316"/>
      <c r="F30" s="316"/>
      <c r="G30" s="316"/>
      <c r="H30" s="316"/>
      <c r="I30" s="316"/>
      <c r="J30" s="316"/>
      <c r="K30" s="316"/>
      <c r="L30" s="316"/>
      <c r="M30" s="316"/>
      <c r="N30" s="316"/>
      <c r="O30" s="317"/>
    </row>
    <row r="31" spans="2:16" x14ac:dyDescent="0.35">
      <c r="B31" s="280"/>
      <c r="C31" s="37">
        <v>2021</v>
      </c>
      <c r="D31" s="315"/>
      <c r="E31" s="316"/>
      <c r="F31" s="316"/>
      <c r="G31" s="316"/>
      <c r="H31" s="316"/>
      <c r="I31" s="316"/>
      <c r="J31" s="316"/>
      <c r="K31" s="316"/>
      <c r="L31" s="316"/>
      <c r="M31" s="316"/>
      <c r="N31" s="316"/>
      <c r="O31" s="317"/>
    </row>
    <row r="32" spans="2:16" x14ac:dyDescent="0.35">
      <c r="B32" s="280"/>
      <c r="C32" s="37">
        <v>2022</v>
      </c>
      <c r="D32" s="315"/>
      <c r="E32" s="316"/>
      <c r="F32" s="316"/>
      <c r="G32" s="316"/>
      <c r="H32" s="316"/>
      <c r="I32" s="316"/>
      <c r="J32" s="316"/>
      <c r="K32" s="316"/>
      <c r="L32" s="316"/>
      <c r="M32" s="316"/>
      <c r="N32" s="316"/>
      <c r="O32" s="317"/>
    </row>
    <row r="33" spans="2:15" ht="22" x14ac:dyDescent="0.35">
      <c r="B33" s="280"/>
      <c r="C33" s="37" t="s">
        <v>400</v>
      </c>
      <c r="D33" s="318"/>
      <c r="E33" s="319"/>
      <c r="F33" s="319"/>
      <c r="G33" s="319"/>
      <c r="H33" s="319"/>
      <c r="I33" s="319"/>
      <c r="J33" s="319"/>
      <c r="K33" s="319"/>
      <c r="L33" s="319"/>
      <c r="M33" s="319"/>
      <c r="N33" s="319"/>
      <c r="O33" s="320"/>
    </row>
    <row r="34" spans="2:15" x14ac:dyDescent="0.35">
      <c r="B34" s="280" t="s">
        <v>471</v>
      </c>
      <c r="C34" s="37" t="s">
        <v>398</v>
      </c>
      <c r="D34" s="281" t="s">
        <v>840</v>
      </c>
      <c r="E34" s="313"/>
      <c r="F34" s="313"/>
      <c r="G34" s="313"/>
      <c r="H34" s="313"/>
      <c r="I34" s="313"/>
      <c r="J34" s="313"/>
      <c r="K34" s="313"/>
      <c r="L34" s="313"/>
      <c r="M34" s="313"/>
      <c r="N34" s="313"/>
      <c r="O34" s="314"/>
    </row>
    <row r="35" spans="2:15" x14ac:dyDescent="0.35">
      <c r="B35" s="280"/>
      <c r="C35" s="37" t="s">
        <v>399</v>
      </c>
      <c r="D35" s="315"/>
      <c r="E35" s="316"/>
      <c r="F35" s="316"/>
      <c r="G35" s="316"/>
      <c r="H35" s="316"/>
      <c r="I35" s="316"/>
      <c r="J35" s="316"/>
      <c r="K35" s="316"/>
      <c r="L35" s="316"/>
      <c r="M35" s="316"/>
      <c r="N35" s="316"/>
      <c r="O35" s="317"/>
    </row>
    <row r="36" spans="2:15" x14ac:dyDescent="0.35">
      <c r="B36" s="280"/>
      <c r="C36" s="37">
        <v>2020</v>
      </c>
      <c r="D36" s="315"/>
      <c r="E36" s="316"/>
      <c r="F36" s="316"/>
      <c r="G36" s="316"/>
      <c r="H36" s="316"/>
      <c r="I36" s="316"/>
      <c r="J36" s="316"/>
      <c r="K36" s="316"/>
      <c r="L36" s="316"/>
      <c r="M36" s="316"/>
      <c r="N36" s="316"/>
      <c r="O36" s="317"/>
    </row>
    <row r="37" spans="2:15" x14ac:dyDescent="0.35">
      <c r="B37" s="280"/>
      <c r="C37" s="37">
        <v>2021</v>
      </c>
      <c r="D37" s="315"/>
      <c r="E37" s="316"/>
      <c r="F37" s="316"/>
      <c r="G37" s="316"/>
      <c r="H37" s="316"/>
      <c r="I37" s="316"/>
      <c r="J37" s="316"/>
      <c r="K37" s="316"/>
      <c r="L37" s="316"/>
      <c r="M37" s="316"/>
      <c r="N37" s="316"/>
      <c r="O37" s="317"/>
    </row>
    <row r="38" spans="2:15" x14ac:dyDescent="0.35">
      <c r="B38" s="280"/>
      <c r="C38" s="37">
        <v>2022</v>
      </c>
      <c r="D38" s="315"/>
      <c r="E38" s="316"/>
      <c r="F38" s="316"/>
      <c r="G38" s="316"/>
      <c r="H38" s="316"/>
      <c r="I38" s="316"/>
      <c r="J38" s="316"/>
      <c r="K38" s="316"/>
      <c r="L38" s="316"/>
      <c r="M38" s="316"/>
      <c r="N38" s="316"/>
      <c r="O38" s="317"/>
    </row>
    <row r="39" spans="2:15" ht="22" x14ac:dyDescent="0.35">
      <c r="B39" s="280"/>
      <c r="C39" s="37" t="s">
        <v>400</v>
      </c>
      <c r="D39" s="318"/>
      <c r="E39" s="319"/>
      <c r="F39" s="319"/>
      <c r="G39" s="319"/>
      <c r="H39" s="319"/>
      <c r="I39" s="319"/>
      <c r="J39" s="319"/>
      <c r="K39" s="319"/>
      <c r="L39" s="319"/>
      <c r="M39" s="319"/>
      <c r="N39" s="319"/>
      <c r="O39" s="320"/>
    </row>
  </sheetData>
  <mergeCells count="10">
    <mergeCell ref="D10:O15"/>
    <mergeCell ref="D16:O21"/>
    <mergeCell ref="D22:O27"/>
    <mergeCell ref="D28:O33"/>
    <mergeCell ref="D34:O39"/>
    <mergeCell ref="B34:B39"/>
    <mergeCell ref="B28:B33"/>
    <mergeCell ref="B10:B15"/>
    <mergeCell ref="B16:B21"/>
    <mergeCell ref="B22:B2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48"/>
  <sheetViews>
    <sheetView workbookViewId="0">
      <selection activeCell="D10" sqref="D10:O15"/>
    </sheetView>
  </sheetViews>
  <sheetFormatPr defaultRowHeight="14.5" x14ac:dyDescent="0.35"/>
  <cols>
    <col min="1" max="1" width="9.1796875" style="40"/>
    <col min="2" max="2" width="17.54296875" customWidth="1"/>
    <col min="3" max="3" width="12.7265625" customWidth="1"/>
    <col min="16" max="25" width="9.1796875" style="40"/>
  </cols>
  <sheetData>
    <row r="1" spans="1:16" s="40" customFormat="1" ht="26" x14ac:dyDescent="0.6">
      <c r="A1" s="42" t="s">
        <v>125</v>
      </c>
    </row>
    <row r="2" spans="1:16" s="40" customFormat="1" x14ac:dyDescent="0.35">
      <c r="A2" s="40" t="s">
        <v>0</v>
      </c>
      <c r="B2" s="43" t="s">
        <v>81</v>
      </c>
      <c r="C2" s="40" t="s">
        <v>409</v>
      </c>
    </row>
    <row r="3" spans="1:16" s="40" customFormat="1" x14ac:dyDescent="0.35">
      <c r="A3" s="44" t="s">
        <v>76</v>
      </c>
      <c r="B3" s="43">
        <v>28</v>
      </c>
      <c r="C3" s="40" t="s">
        <v>475</v>
      </c>
    </row>
    <row r="4" spans="1:16" s="40" customFormat="1" x14ac:dyDescent="0.35"/>
    <row r="5" spans="1:16" s="40" customFormat="1" x14ac:dyDescent="0.35"/>
    <row r="6" spans="1:16" s="40" customFormat="1" x14ac:dyDescent="0.35"/>
    <row r="7" spans="1:16" s="40" customFormat="1" x14ac:dyDescent="0.35"/>
    <row r="8" spans="1:16" s="40" customFormat="1" x14ac:dyDescent="0.35"/>
    <row r="9" spans="1:16" ht="68" x14ac:dyDescent="0.35">
      <c r="A9" s="46"/>
      <c r="B9" s="36" t="s">
        <v>385</v>
      </c>
      <c r="C9" s="36" t="s">
        <v>386</v>
      </c>
      <c r="D9" s="36" t="s">
        <v>387</v>
      </c>
      <c r="E9" s="36" t="s">
        <v>388</v>
      </c>
      <c r="F9" s="36" t="s">
        <v>417</v>
      </c>
      <c r="G9" s="36" t="s">
        <v>390</v>
      </c>
      <c r="H9" s="36" t="s">
        <v>391</v>
      </c>
      <c r="I9" s="36" t="s">
        <v>392</v>
      </c>
      <c r="J9" s="36" t="s">
        <v>393</v>
      </c>
      <c r="K9" s="36" t="s">
        <v>416</v>
      </c>
      <c r="L9" s="36" t="s">
        <v>395</v>
      </c>
      <c r="M9" s="36" t="s">
        <v>396</v>
      </c>
      <c r="N9" s="36" t="s">
        <v>397</v>
      </c>
      <c r="O9" s="36" t="s">
        <v>113</v>
      </c>
      <c r="P9" s="46"/>
    </row>
    <row r="10" spans="1:16" x14ac:dyDescent="0.35">
      <c r="B10" s="280" t="s">
        <v>472</v>
      </c>
      <c r="C10" s="37" t="s">
        <v>398</v>
      </c>
      <c r="D10" s="281" t="s">
        <v>511</v>
      </c>
      <c r="E10" s="313"/>
      <c r="F10" s="313"/>
      <c r="G10" s="313"/>
      <c r="H10" s="313"/>
      <c r="I10" s="313"/>
      <c r="J10" s="313"/>
      <c r="K10" s="313"/>
      <c r="L10" s="313"/>
      <c r="M10" s="313"/>
      <c r="N10" s="313"/>
      <c r="O10" s="314"/>
      <c r="P10" s="47"/>
    </row>
    <row r="11" spans="1:16" x14ac:dyDescent="0.35">
      <c r="B11" s="280"/>
      <c r="C11" s="37" t="s">
        <v>399</v>
      </c>
      <c r="D11" s="315"/>
      <c r="E11" s="316"/>
      <c r="F11" s="316"/>
      <c r="G11" s="316"/>
      <c r="H11" s="316"/>
      <c r="I11" s="316"/>
      <c r="J11" s="316"/>
      <c r="K11" s="316"/>
      <c r="L11" s="316"/>
      <c r="M11" s="316"/>
      <c r="N11" s="316"/>
      <c r="O11" s="317"/>
      <c r="P11" s="47"/>
    </row>
    <row r="12" spans="1:16" x14ac:dyDescent="0.35">
      <c r="B12" s="280"/>
      <c r="C12" s="37">
        <v>2020</v>
      </c>
      <c r="D12" s="315"/>
      <c r="E12" s="316"/>
      <c r="F12" s="316"/>
      <c r="G12" s="316"/>
      <c r="H12" s="316"/>
      <c r="I12" s="316"/>
      <c r="J12" s="316"/>
      <c r="K12" s="316"/>
      <c r="L12" s="316"/>
      <c r="M12" s="316"/>
      <c r="N12" s="316"/>
      <c r="O12" s="317"/>
      <c r="P12" s="47"/>
    </row>
    <row r="13" spans="1:16" x14ac:dyDescent="0.35">
      <c r="B13" s="280"/>
      <c r="C13" s="37">
        <v>2021</v>
      </c>
      <c r="D13" s="315"/>
      <c r="E13" s="316"/>
      <c r="F13" s="316"/>
      <c r="G13" s="316"/>
      <c r="H13" s="316"/>
      <c r="I13" s="316"/>
      <c r="J13" s="316"/>
      <c r="K13" s="316"/>
      <c r="L13" s="316"/>
      <c r="M13" s="316"/>
      <c r="N13" s="316"/>
      <c r="O13" s="317"/>
      <c r="P13" s="47"/>
    </row>
    <row r="14" spans="1:16" x14ac:dyDescent="0.35">
      <c r="B14" s="280"/>
      <c r="C14" s="37">
        <v>2022</v>
      </c>
      <c r="D14" s="315"/>
      <c r="E14" s="316"/>
      <c r="F14" s="316"/>
      <c r="G14" s="316"/>
      <c r="H14" s="316"/>
      <c r="I14" s="316"/>
      <c r="J14" s="316"/>
      <c r="K14" s="316"/>
      <c r="L14" s="316"/>
      <c r="M14" s="316"/>
      <c r="N14" s="316"/>
      <c r="O14" s="317"/>
      <c r="P14" s="47"/>
    </row>
    <row r="15" spans="1:16" ht="22" x14ac:dyDescent="0.35">
      <c r="B15" s="280"/>
      <c r="C15" s="37" t="s">
        <v>400</v>
      </c>
      <c r="D15" s="318"/>
      <c r="E15" s="319"/>
      <c r="F15" s="319"/>
      <c r="G15" s="319"/>
      <c r="H15" s="319"/>
      <c r="I15" s="319"/>
      <c r="J15" s="319"/>
      <c r="K15" s="319"/>
      <c r="L15" s="319"/>
      <c r="M15" s="319"/>
      <c r="N15" s="319"/>
      <c r="O15" s="320"/>
      <c r="P15" s="47"/>
    </row>
    <row r="16" spans="1:16" x14ac:dyDescent="0.35">
      <c r="B16" s="280" t="s">
        <v>878</v>
      </c>
      <c r="C16" s="37" t="s">
        <v>398</v>
      </c>
      <c r="D16" s="281" t="s">
        <v>511</v>
      </c>
      <c r="E16" s="313"/>
      <c r="F16" s="313"/>
      <c r="G16" s="313"/>
      <c r="H16" s="313"/>
      <c r="I16" s="313"/>
      <c r="J16" s="313"/>
      <c r="K16" s="313"/>
      <c r="L16" s="313"/>
      <c r="M16" s="313"/>
      <c r="N16" s="313"/>
      <c r="O16" s="314"/>
      <c r="P16" s="47"/>
    </row>
    <row r="17" spans="2:16" x14ac:dyDescent="0.35">
      <c r="B17" s="280"/>
      <c r="C17" s="37" t="s">
        <v>399</v>
      </c>
      <c r="D17" s="315"/>
      <c r="E17" s="316"/>
      <c r="F17" s="316"/>
      <c r="G17" s="316"/>
      <c r="H17" s="316"/>
      <c r="I17" s="316"/>
      <c r="J17" s="316"/>
      <c r="K17" s="316"/>
      <c r="L17" s="316"/>
      <c r="M17" s="316"/>
      <c r="N17" s="316"/>
      <c r="O17" s="317"/>
      <c r="P17" s="47"/>
    </row>
    <row r="18" spans="2:16" x14ac:dyDescent="0.35">
      <c r="B18" s="280"/>
      <c r="C18" s="37">
        <v>2020</v>
      </c>
      <c r="D18" s="315"/>
      <c r="E18" s="316"/>
      <c r="F18" s="316"/>
      <c r="G18" s="316"/>
      <c r="H18" s="316"/>
      <c r="I18" s="316"/>
      <c r="J18" s="316"/>
      <c r="K18" s="316"/>
      <c r="L18" s="316"/>
      <c r="M18" s="316"/>
      <c r="N18" s="316"/>
      <c r="O18" s="317"/>
      <c r="P18" s="47"/>
    </row>
    <row r="19" spans="2:16" x14ac:dyDescent="0.35">
      <c r="B19" s="280"/>
      <c r="C19" s="37">
        <v>2021</v>
      </c>
      <c r="D19" s="315"/>
      <c r="E19" s="316"/>
      <c r="F19" s="316"/>
      <c r="G19" s="316"/>
      <c r="H19" s="316"/>
      <c r="I19" s="316"/>
      <c r="J19" s="316"/>
      <c r="K19" s="316"/>
      <c r="L19" s="316"/>
      <c r="M19" s="316"/>
      <c r="N19" s="316"/>
      <c r="O19" s="317"/>
      <c r="P19" s="47"/>
    </row>
    <row r="20" spans="2:16" x14ac:dyDescent="0.35">
      <c r="B20" s="280"/>
      <c r="C20" s="37">
        <v>2022</v>
      </c>
      <c r="D20" s="315"/>
      <c r="E20" s="316"/>
      <c r="F20" s="316"/>
      <c r="G20" s="316"/>
      <c r="H20" s="316"/>
      <c r="I20" s="316"/>
      <c r="J20" s="316"/>
      <c r="K20" s="316"/>
      <c r="L20" s="316"/>
      <c r="M20" s="316"/>
      <c r="N20" s="316"/>
      <c r="O20" s="317"/>
      <c r="P20" s="47"/>
    </row>
    <row r="21" spans="2:16" ht="22" x14ac:dyDescent="0.35">
      <c r="B21" s="280"/>
      <c r="C21" s="37" t="s">
        <v>400</v>
      </c>
      <c r="D21" s="318"/>
      <c r="E21" s="319"/>
      <c r="F21" s="319"/>
      <c r="G21" s="319"/>
      <c r="H21" s="319"/>
      <c r="I21" s="319"/>
      <c r="J21" s="319"/>
      <c r="K21" s="319"/>
      <c r="L21" s="319"/>
      <c r="M21" s="319"/>
      <c r="N21" s="319"/>
      <c r="O21" s="320"/>
      <c r="P21" s="47"/>
    </row>
    <row r="22" spans="2:16" x14ac:dyDescent="0.35">
      <c r="B22" s="280" t="s">
        <v>473</v>
      </c>
      <c r="C22" s="37" t="s">
        <v>398</v>
      </c>
      <c r="D22" s="281" t="s">
        <v>511</v>
      </c>
      <c r="E22" s="313"/>
      <c r="F22" s="313"/>
      <c r="G22" s="313"/>
      <c r="H22" s="313"/>
      <c r="I22" s="313"/>
      <c r="J22" s="313"/>
      <c r="K22" s="313"/>
      <c r="L22" s="313"/>
      <c r="M22" s="313"/>
      <c r="N22" s="313"/>
      <c r="O22" s="314"/>
      <c r="P22" s="47"/>
    </row>
    <row r="23" spans="2:16" x14ac:dyDescent="0.35">
      <c r="B23" s="280"/>
      <c r="C23" s="37" t="s">
        <v>399</v>
      </c>
      <c r="D23" s="315"/>
      <c r="E23" s="316"/>
      <c r="F23" s="316"/>
      <c r="G23" s="316"/>
      <c r="H23" s="316"/>
      <c r="I23" s="316"/>
      <c r="J23" s="316"/>
      <c r="K23" s="316"/>
      <c r="L23" s="316"/>
      <c r="M23" s="316"/>
      <c r="N23" s="316"/>
      <c r="O23" s="317"/>
      <c r="P23" s="47"/>
    </row>
    <row r="24" spans="2:16" x14ac:dyDescent="0.35">
      <c r="B24" s="280"/>
      <c r="C24" s="37">
        <v>2020</v>
      </c>
      <c r="D24" s="315"/>
      <c r="E24" s="316"/>
      <c r="F24" s="316"/>
      <c r="G24" s="316"/>
      <c r="H24" s="316"/>
      <c r="I24" s="316"/>
      <c r="J24" s="316"/>
      <c r="K24" s="316"/>
      <c r="L24" s="316"/>
      <c r="M24" s="316"/>
      <c r="N24" s="316"/>
      <c r="O24" s="317"/>
      <c r="P24" s="47"/>
    </row>
    <row r="25" spans="2:16" x14ac:dyDescent="0.35">
      <c r="B25" s="280"/>
      <c r="C25" s="37">
        <v>2021</v>
      </c>
      <c r="D25" s="315"/>
      <c r="E25" s="316"/>
      <c r="F25" s="316"/>
      <c r="G25" s="316"/>
      <c r="H25" s="316"/>
      <c r="I25" s="316"/>
      <c r="J25" s="316"/>
      <c r="K25" s="316"/>
      <c r="L25" s="316"/>
      <c r="M25" s="316"/>
      <c r="N25" s="316"/>
      <c r="O25" s="317"/>
      <c r="P25" s="47"/>
    </row>
    <row r="26" spans="2:16" x14ac:dyDescent="0.35">
      <c r="B26" s="280"/>
      <c r="C26" s="37">
        <v>2022</v>
      </c>
      <c r="D26" s="315"/>
      <c r="E26" s="316"/>
      <c r="F26" s="316"/>
      <c r="G26" s="316"/>
      <c r="H26" s="316"/>
      <c r="I26" s="316"/>
      <c r="J26" s="316"/>
      <c r="K26" s="316"/>
      <c r="L26" s="316"/>
      <c r="M26" s="316"/>
      <c r="N26" s="316"/>
      <c r="O26" s="317"/>
      <c r="P26" s="47"/>
    </row>
    <row r="27" spans="2:16" ht="22" x14ac:dyDescent="0.35">
      <c r="B27" s="280"/>
      <c r="C27" s="37" t="s">
        <v>400</v>
      </c>
      <c r="D27" s="318"/>
      <c r="E27" s="319"/>
      <c r="F27" s="319"/>
      <c r="G27" s="319"/>
      <c r="H27" s="319"/>
      <c r="I27" s="319"/>
      <c r="J27" s="319"/>
      <c r="K27" s="319"/>
      <c r="L27" s="319"/>
      <c r="M27" s="319"/>
      <c r="N27" s="319"/>
      <c r="O27" s="320"/>
      <c r="P27" s="47"/>
    </row>
    <row r="28" spans="2:16" x14ac:dyDescent="0.35">
      <c r="B28" s="280" t="s">
        <v>474</v>
      </c>
      <c r="C28" s="37" t="s">
        <v>398</v>
      </c>
      <c r="D28" s="281" t="s">
        <v>511</v>
      </c>
      <c r="E28" s="313"/>
      <c r="F28" s="313"/>
      <c r="G28" s="313"/>
      <c r="H28" s="313"/>
      <c r="I28" s="313"/>
      <c r="J28" s="313"/>
      <c r="K28" s="313"/>
      <c r="L28" s="313"/>
      <c r="M28" s="313"/>
      <c r="N28" s="313"/>
      <c r="O28" s="314"/>
    </row>
    <row r="29" spans="2:16" x14ac:dyDescent="0.35">
      <c r="B29" s="280"/>
      <c r="C29" s="37" t="s">
        <v>399</v>
      </c>
      <c r="D29" s="315"/>
      <c r="E29" s="316"/>
      <c r="F29" s="316"/>
      <c r="G29" s="316"/>
      <c r="H29" s="316"/>
      <c r="I29" s="316"/>
      <c r="J29" s="316"/>
      <c r="K29" s="316"/>
      <c r="L29" s="316"/>
      <c r="M29" s="316"/>
      <c r="N29" s="316"/>
      <c r="O29" s="317"/>
    </row>
    <row r="30" spans="2:16" x14ac:dyDescent="0.35">
      <c r="B30" s="280"/>
      <c r="C30" s="37">
        <v>2020</v>
      </c>
      <c r="D30" s="315"/>
      <c r="E30" s="316"/>
      <c r="F30" s="316"/>
      <c r="G30" s="316"/>
      <c r="H30" s="316"/>
      <c r="I30" s="316"/>
      <c r="J30" s="316"/>
      <c r="K30" s="316"/>
      <c r="L30" s="316"/>
      <c r="M30" s="316"/>
      <c r="N30" s="316"/>
      <c r="O30" s="317"/>
    </row>
    <row r="31" spans="2:16" x14ac:dyDescent="0.35">
      <c r="B31" s="280"/>
      <c r="C31" s="37">
        <v>2021</v>
      </c>
      <c r="D31" s="315"/>
      <c r="E31" s="316"/>
      <c r="F31" s="316"/>
      <c r="G31" s="316"/>
      <c r="H31" s="316"/>
      <c r="I31" s="316"/>
      <c r="J31" s="316"/>
      <c r="K31" s="316"/>
      <c r="L31" s="316"/>
      <c r="M31" s="316"/>
      <c r="N31" s="316"/>
      <c r="O31" s="317"/>
    </row>
    <row r="32" spans="2:16" x14ac:dyDescent="0.35">
      <c r="B32" s="280"/>
      <c r="C32" s="37">
        <v>2022</v>
      </c>
      <c r="D32" s="315"/>
      <c r="E32" s="316"/>
      <c r="F32" s="316"/>
      <c r="G32" s="316"/>
      <c r="H32" s="316"/>
      <c r="I32" s="316"/>
      <c r="J32" s="316"/>
      <c r="K32" s="316"/>
      <c r="L32" s="316"/>
      <c r="M32" s="316"/>
      <c r="N32" s="316"/>
      <c r="O32" s="317"/>
    </row>
    <row r="33" spans="2:15" ht="22" x14ac:dyDescent="0.35">
      <c r="B33" s="280"/>
      <c r="C33" s="37" t="s">
        <v>400</v>
      </c>
      <c r="D33" s="318"/>
      <c r="E33" s="319"/>
      <c r="F33" s="319"/>
      <c r="G33" s="319"/>
      <c r="H33" s="319"/>
      <c r="I33" s="319"/>
      <c r="J33" s="319"/>
      <c r="K33" s="319"/>
      <c r="L33" s="319"/>
      <c r="M33" s="319"/>
      <c r="N33" s="319"/>
      <c r="O33" s="320"/>
    </row>
    <row r="34" spans="2:15" s="40" customFormat="1" x14ac:dyDescent="0.35"/>
    <row r="35" spans="2:15" s="40" customFormat="1" x14ac:dyDescent="0.35"/>
    <row r="36" spans="2:15" s="40" customFormat="1" x14ac:dyDescent="0.35"/>
    <row r="37" spans="2:15" s="40" customFormat="1" x14ac:dyDescent="0.35"/>
    <row r="38" spans="2:15" s="40" customFormat="1" x14ac:dyDescent="0.35"/>
    <row r="39" spans="2:15" s="40" customFormat="1" x14ac:dyDescent="0.35"/>
    <row r="40" spans="2:15" s="40" customFormat="1" x14ac:dyDescent="0.35"/>
    <row r="41" spans="2:15" s="40" customFormat="1" x14ac:dyDescent="0.35"/>
    <row r="42" spans="2:15" s="40" customFormat="1" x14ac:dyDescent="0.35"/>
    <row r="43" spans="2:15" s="40" customFormat="1" x14ac:dyDescent="0.35"/>
    <row r="44" spans="2:15" s="40" customFormat="1" x14ac:dyDescent="0.35"/>
    <row r="45" spans="2:15" s="40" customFormat="1" x14ac:dyDescent="0.35"/>
    <row r="46" spans="2:15" s="40" customFormat="1" x14ac:dyDescent="0.35"/>
    <row r="47" spans="2:15" s="40" customFormat="1" x14ac:dyDescent="0.35"/>
    <row r="48" spans="2:15" s="40" customFormat="1" x14ac:dyDescent="0.35"/>
  </sheetData>
  <mergeCells count="8">
    <mergeCell ref="B28:B33"/>
    <mergeCell ref="B10:B15"/>
    <mergeCell ref="B16:B21"/>
    <mergeCell ref="B22:B27"/>
    <mergeCell ref="D10:O15"/>
    <mergeCell ref="D16:O21"/>
    <mergeCell ref="D22:O27"/>
    <mergeCell ref="D28:O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59"/>
  <sheetViews>
    <sheetView zoomScaleNormal="100" workbookViewId="0">
      <selection activeCell="D36" sqref="D36"/>
    </sheetView>
  </sheetViews>
  <sheetFormatPr defaultRowHeight="14.5" x14ac:dyDescent="0.35"/>
  <cols>
    <col min="2" max="2" width="13.7265625" customWidth="1"/>
    <col min="4" max="4" width="57.1796875" customWidth="1"/>
    <col min="10" max="10" width="33.54296875" style="7" customWidth="1"/>
    <col min="11" max="11" width="42.453125" customWidth="1"/>
    <col min="12" max="12" width="2.26953125" customWidth="1"/>
  </cols>
  <sheetData>
    <row r="1" spans="1:11" ht="26" x14ac:dyDescent="0.6">
      <c r="A1" s="6" t="s">
        <v>125</v>
      </c>
    </row>
    <row r="2" spans="1:11" x14ac:dyDescent="0.35">
      <c r="A2" t="s">
        <v>0</v>
      </c>
      <c r="B2" s="1">
        <v>2.2999999999999998</v>
      </c>
      <c r="C2" t="s">
        <v>342</v>
      </c>
    </row>
    <row r="3" spans="1:11" x14ac:dyDescent="0.35">
      <c r="A3" s="5" t="s">
        <v>76</v>
      </c>
      <c r="B3" s="1">
        <v>2</v>
      </c>
      <c r="C3" s="5" t="s">
        <v>10</v>
      </c>
    </row>
    <row r="6" spans="1:11" x14ac:dyDescent="0.35">
      <c r="B6" s="208" t="s">
        <v>126</v>
      </c>
      <c r="C6" s="208" t="s">
        <v>108</v>
      </c>
      <c r="D6" s="208" t="s">
        <v>127</v>
      </c>
      <c r="E6" s="208" t="s">
        <v>111</v>
      </c>
      <c r="F6" s="208"/>
      <c r="G6" s="208"/>
      <c r="H6" s="208"/>
      <c r="I6" s="208"/>
      <c r="J6" s="208" t="s">
        <v>112</v>
      </c>
      <c r="K6" s="208" t="s">
        <v>113</v>
      </c>
    </row>
    <row r="7" spans="1:11" x14ac:dyDescent="0.35">
      <c r="B7" s="208"/>
      <c r="C7" s="208"/>
      <c r="D7" s="208"/>
      <c r="E7" s="8">
        <v>2015</v>
      </c>
      <c r="F7" s="8">
        <v>2016</v>
      </c>
      <c r="G7" s="8">
        <v>2017</v>
      </c>
      <c r="H7" s="8">
        <v>2018</v>
      </c>
      <c r="I7" s="8">
        <v>2019</v>
      </c>
      <c r="J7" s="208"/>
      <c r="K7" s="208"/>
    </row>
    <row r="8" spans="1:11" ht="43.5" customHeight="1" x14ac:dyDescent="0.35">
      <c r="B8" s="205" t="s">
        <v>128</v>
      </c>
      <c r="C8" s="9" t="s">
        <v>3</v>
      </c>
      <c r="D8" s="10" t="s">
        <v>129</v>
      </c>
      <c r="E8" s="129">
        <v>1257</v>
      </c>
      <c r="F8" s="129">
        <v>796</v>
      </c>
      <c r="G8" s="129">
        <v>1096</v>
      </c>
      <c r="H8" s="129">
        <v>777</v>
      </c>
      <c r="I8" s="129">
        <v>1122</v>
      </c>
      <c r="J8" s="32" t="s">
        <v>130</v>
      </c>
      <c r="K8" s="213" t="s">
        <v>737</v>
      </c>
    </row>
    <row r="9" spans="1:11" ht="42.75" customHeight="1" x14ac:dyDescent="0.35">
      <c r="B9" s="205"/>
      <c r="C9" s="9" t="s">
        <v>5</v>
      </c>
      <c r="D9" s="10" t="s">
        <v>131</v>
      </c>
      <c r="E9" s="132">
        <f>E8/'Table 10'!C$8</f>
        <v>6.1486588225079637E-2</v>
      </c>
      <c r="F9" s="132">
        <f>F8/'Table 10'!D8</f>
        <v>0.21697079511421358</v>
      </c>
      <c r="G9" s="132">
        <f>G8/'Table 10'!E8</f>
        <v>4.8398689820370343E-2</v>
      </c>
      <c r="H9" s="132">
        <f>H8/'Table 10'!F8</f>
        <v>6.3819470315881074E-2</v>
      </c>
      <c r="I9" s="132">
        <f>I8/'Table 10'!G8</f>
        <v>0.11471703650060307</v>
      </c>
      <c r="J9" s="32" t="s">
        <v>132</v>
      </c>
      <c r="K9" s="214"/>
    </row>
    <row r="10" spans="1:11" ht="35.25" customHeight="1" x14ac:dyDescent="0.35">
      <c r="B10" s="205"/>
      <c r="C10" s="9" t="s">
        <v>11</v>
      </c>
      <c r="D10" s="10" t="s">
        <v>133</v>
      </c>
      <c r="E10" s="130">
        <v>47</v>
      </c>
      <c r="F10" s="130">
        <v>53</v>
      </c>
      <c r="G10" s="130">
        <v>81</v>
      </c>
      <c r="H10" s="130">
        <v>32</v>
      </c>
      <c r="I10" s="130">
        <v>80</v>
      </c>
      <c r="J10" s="32" t="s">
        <v>134</v>
      </c>
      <c r="K10" s="213" t="s">
        <v>843</v>
      </c>
    </row>
    <row r="11" spans="1:11" ht="40.5" customHeight="1" x14ac:dyDescent="0.35">
      <c r="B11" s="205"/>
      <c r="C11" s="9" t="s">
        <v>12</v>
      </c>
      <c r="D11" s="10" t="s">
        <v>135</v>
      </c>
      <c r="E11" s="131">
        <f>E10/'Table 10'!C$8</f>
        <v>2.2990211985511083E-3</v>
      </c>
      <c r="F11" s="131">
        <f>F10/'Table 10'!D$8</f>
        <v>1.444654791589613E-2</v>
      </c>
      <c r="G11" s="131">
        <f>G10/'Table 10'!E$8</f>
        <v>3.5769104703010928E-3</v>
      </c>
      <c r="H11" s="131">
        <f>H10/'Table 10'!F$8</f>
        <v>2.6283436938329403E-3</v>
      </c>
      <c r="I11" s="131">
        <f>I10/'Table 10'!G$8</f>
        <v>8.1794678431802541E-3</v>
      </c>
      <c r="J11" s="32" t="s">
        <v>136</v>
      </c>
      <c r="K11" s="214"/>
    </row>
    <row r="12" spans="1:11" ht="40.5" customHeight="1" x14ac:dyDescent="0.35">
      <c r="B12" s="211" t="s">
        <v>732</v>
      </c>
      <c r="C12" s="9" t="s">
        <v>733</v>
      </c>
      <c r="D12" s="103" t="s">
        <v>129</v>
      </c>
      <c r="E12" s="52">
        <v>417</v>
      </c>
      <c r="F12" s="52">
        <v>191</v>
      </c>
      <c r="G12" s="52">
        <v>277</v>
      </c>
      <c r="H12" s="52">
        <v>260</v>
      </c>
      <c r="I12" s="52">
        <v>311</v>
      </c>
      <c r="J12" s="102" t="s">
        <v>130</v>
      </c>
      <c r="K12" s="213" t="s">
        <v>738</v>
      </c>
    </row>
    <row r="13" spans="1:11" ht="40.5" customHeight="1" x14ac:dyDescent="0.35">
      <c r="B13" s="212"/>
      <c r="C13" s="9" t="s">
        <v>734</v>
      </c>
      <c r="D13" s="103" t="s">
        <v>131</v>
      </c>
      <c r="E13" s="131">
        <f>E12/'Table 10'!C$8</f>
        <v>2.0397698719059831E-2</v>
      </c>
      <c r="F13" s="131">
        <f>F12/'Table 10'!D$8</f>
        <v>5.2062087772380396E-2</v>
      </c>
      <c r="G13" s="131">
        <f>G12/'Table 10'!E$8</f>
        <v>1.2232150620659292E-2</v>
      </c>
      <c r="H13" s="131">
        <f>H12/'Table 10'!F$8</f>
        <v>2.135529251239264E-2</v>
      </c>
      <c r="I13" s="131">
        <f>I12/'Table 10'!G$8</f>
        <v>3.1797681240363238E-2</v>
      </c>
      <c r="J13" s="102" t="s">
        <v>132</v>
      </c>
      <c r="K13" s="214"/>
    </row>
    <row r="14" spans="1:11" ht="40.5" customHeight="1" x14ac:dyDescent="0.35">
      <c r="B14" s="212"/>
      <c r="C14" s="9" t="s">
        <v>735</v>
      </c>
      <c r="D14" s="103" t="s">
        <v>133</v>
      </c>
      <c r="E14" s="52">
        <v>7</v>
      </c>
      <c r="F14" s="52">
        <v>6</v>
      </c>
      <c r="G14" s="52">
        <v>8</v>
      </c>
      <c r="H14" s="52">
        <v>8</v>
      </c>
      <c r="I14" s="52">
        <v>19</v>
      </c>
      <c r="J14" s="102" t="s">
        <v>130</v>
      </c>
      <c r="K14" s="213" t="s">
        <v>844</v>
      </c>
    </row>
    <row r="15" spans="1:11" ht="40.5" customHeight="1" x14ac:dyDescent="0.35">
      <c r="B15" s="212"/>
      <c r="C15" s="9" t="s">
        <v>736</v>
      </c>
      <c r="D15" s="103" t="s">
        <v>135</v>
      </c>
      <c r="E15" s="131">
        <f>E14/'Table 10'!C$8</f>
        <v>3.4240741255016507E-4</v>
      </c>
      <c r="F15" s="131">
        <f>F14/'Table 10'!D$8</f>
        <v>1.6354582546297507E-3</v>
      </c>
      <c r="G15" s="131">
        <f>G14/'Table 10'!E$8</f>
        <v>3.5327510817788571E-4</v>
      </c>
      <c r="H15" s="131">
        <f>H14/'Table 10'!F$8</f>
        <v>6.5708592345823508E-4</v>
      </c>
      <c r="I15" s="131">
        <f>I14/'Table 10'!G$8</f>
        <v>1.9426236127553103E-3</v>
      </c>
      <c r="J15" s="102" t="s">
        <v>132</v>
      </c>
      <c r="K15" s="214"/>
    </row>
    <row r="16" spans="1:11" ht="68.25" customHeight="1" x14ac:dyDescent="0.35">
      <c r="B16" s="205" t="s">
        <v>137</v>
      </c>
      <c r="C16" s="9" t="s">
        <v>13</v>
      </c>
      <c r="D16" s="10" t="s">
        <v>138</v>
      </c>
      <c r="E16" s="66">
        <v>0.03</v>
      </c>
      <c r="F16" s="66">
        <v>7.0000000000000007E-2</v>
      </c>
      <c r="G16" s="66">
        <v>0.05</v>
      </c>
      <c r="H16" s="66">
        <v>0.14000000000000001</v>
      </c>
      <c r="I16" s="66">
        <v>0.1</v>
      </c>
      <c r="J16" s="32" t="s">
        <v>139</v>
      </c>
      <c r="K16" s="209" t="s">
        <v>845</v>
      </c>
    </row>
    <row r="17" spans="2:11" ht="81" customHeight="1" x14ac:dyDescent="0.35">
      <c r="B17" s="205"/>
      <c r="C17" s="11" t="s">
        <v>140</v>
      </c>
      <c r="D17" s="10" t="s">
        <v>141</v>
      </c>
      <c r="E17" s="66">
        <v>0.33</v>
      </c>
      <c r="F17" s="66">
        <v>0.25</v>
      </c>
      <c r="G17" s="66">
        <v>0.19</v>
      </c>
      <c r="H17" s="66">
        <v>0.26</v>
      </c>
      <c r="I17" s="66">
        <v>0.18</v>
      </c>
      <c r="J17" s="32" t="s">
        <v>142</v>
      </c>
      <c r="K17" s="210"/>
    </row>
    <row r="18" spans="2:11" ht="66" customHeight="1" x14ac:dyDescent="0.35">
      <c r="B18" s="205"/>
      <c r="C18" s="11" t="s">
        <v>14</v>
      </c>
      <c r="D18" s="10" t="s">
        <v>495</v>
      </c>
      <c r="E18" s="133">
        <v>0</v>
      </c>
      <c r="F18" s="133">
        <v>0</v>
      </c>
      <c r="G18" s="133">
        <v>0</v>
      </c>
      <c r="H18" s="133">
        <v>0</v>
      </c>
      <c r="I18" s="133">
        <v>0</v>
      </c>
      <c r="J18" s="56" t="s">
        <v>143</v>
      </c>
      <c r="K18" s="45" t="s">
        <v>496</v>
      </c>
    </row>
    <row r="19" spans="2:11" ht="31.5" customHeight="1" x14ac:dyDescent="0.35">
      <c r="B19" s="205" t="s">
        <v>144</v>
      </c>
      <c r="C19" s="11" t="s">
        <v>15</v>
      </c>
      <c r="D19" s="10" t="s">
        <v>145</v>
      </c>
      <c r="E19" s="105">
        <v>47594.801883333363</v>
      </c>
      <c r="F19" s="105">
        <v>60799.463216666642</v>
      </c>
      <c r="G19" s="105">
        <v>58404.936416666678</v>
      </c>
      <c r="H19" s="105">
        <v>70908.570699999982</v>
      </c>
      <c r="I19" s="105">
        <v>80070.585566666719</v>
      </c>
      <c r="J19" s="32" t="s">
        <v>146</v>
      </c>
      <c r="K19" s="216" t="s">
        <v>747</v>
      </c>
    </row>
    <row r="20" spans="2:11" ht="27.75" customHeight="1" x14ac:dyDescent="0.35">
      <c r="B20" s="205"/>
      <c r="C20" s="11" t="s">
        <v>6</v>
      </c>
      <c r="D20" s="10" t="s">
        <v>147</v>
      </c>
      <c r="E20" s="107">
        <f>E19/'Table 10'!C$8</f>
        <v>2.3281161376728425</v>
      </c>
      <c r="F20" s="107">
        <f>F19/'Table 10'!D$8</f>
        <v>16.572497332459225</v>
      </c>
      <c r="G20" s="107">
        <f>G19/'Table 10'!E$8</f>
        <v>2.5791262788400573</v>
      </c>
      <c r="H20" s="107">
        <f>H19/'Table 10'!F$8</f>
        <v>5.8241279574391296</v>
      </c>
      <c r="I20" s="107">
        <f>I19/'Table 10'!G$8</f>
        <v>8.1866847478395428</v>
      </c>
      <c r="J20" s="32" t="s">
        <v>148</v>
      </c>
      <c r="K20" s="217"/>
    </row>
    <row r="21" spans="2:11" ht="27" customHeight="1" x14ac:dyDescent="0.35">
      <c r="B21" s="205"/>
      <c r="C21" s="11" t="s">
        <v>16</v>
      </c>
      <c r="D21" s="10" t="s">
        <v>149</v>
      </c>
      <c r="E21" s="135">
        <v>215935.65805000003</v>
      </c>
      <c r="F21" s="135">
        <v>81069.275666666712</v>
      </c>
      <c r="G21" s="135">
        <v>297749.24773333332</v>
      </c>
      <c r="H21" s="135">
        <v>91501.868216666626</v>
      </c>
      <c r="I21" s="135">
        <v>291163.71586666693</v>
      </c>
      <c r="J21" s="10" t="s">
        <v>150</v>
      </c>
      <c r="K21" s="213" t="s">
        <v>748</v>
      </c>
    </row>
    <row r="22" spans="2:11" ht="27.75" customHeight="1" x14ac:dyDescent="0.35">
      <c r="B22" s="205"/>
      <c r="C22" s="11" t="s">
        <v>17</v>
      </c>
      <c r="D22" s="10" t="s">
        <v>151</v>
      </c>
      <c r="E22" s="134">
        <f>E21/'Table 10'!C$8</f>
        <v>10.56256713574539</v>
      </c>
      <c r="F22" s="134">
        <f>F21/'Table 10'!D$8</f>
        <v>22.097569347650808</v>
      </c>
      <c r="G22" s="134">
        <f>G21/'Table 10'!E$8</f>
        <v>13.148424712859677</v>
      </c>
      <c r="H22" s="134">
        <f>H21/'Table 10'!F$8</f>
        <v>7.5155736969127647</v>
      </c>
      <c r="I22" s="134">
        <f>I21/'Table 10'!G$8</f>
        <v>29.769553137903433</v>
      </c>
      <c r="J22" s="10" t="s">
        <v>152</v>
      </c>
      <c r="K22" s="214"/>
    </row>
    <row r="23" spans="2:11" ht="30.75" customHeight="1" x14ac:dyDescent="0.35">
      <c r="B23" s="205"/>
      <c r="C23" s="11" t="s">
        <v>18</v>
      </c>
      <c r="D23" s="10" t="s">
        <v>153</v>
      </c>
      <c r="E23" s="136">
        <v>-51.628616549655021</v>
      </c>
      <c r="F23" s="136">
        <v>-39.241349771060982</v>
      </c>
      <c r="G23" s="136">
        <v>-20.505527910607</v>
      </c>
      <c r="H23" s="136">
        <v>-13.241011356021005</v>
      </c>
      <c r="I23" s="136">
        <v>-3.3971168704809998</v>
      </c>
      <c r="J23" s="10" t="s">
        <v>154</v>
      </c>
      <c r="K23" s="104" t="s">
        <v>749</v>
      </c>
    </row>
    <row r="24" spans="2:11" ht="32.25" customHeight="1" x14ac:dyDescent="0.35">
      <c r="B24" s="205"/>
      <c r="C24" s="11" t="s">
        <v>37</v>
      </c>
      <c r="D24" s="10" t="s">
        <v>155</v>
      </c>
      <c r="E24" s="135">
        <v>75364.116299999965</v>
      </c>
      <c r="F24" s="135">
        <v>66115.304150000011</v>
      </c>
      <c r="G24" s="135">
        <v>53724.369850000032</v>
      </c>
      <c r="H24" s="135">
        <v>42709.421233333327</v>
      </c>
      <c r="I24" s="135">
        <v>50376.305383333369</v>
      </c>
      <c r="J24" s="10" t="s">
        <v>150</v>
      </c>
      <c r="K24" s="213" t="s">
        <v>750</v>
      </c>
    </row>
    <row r="25" spans="2:11" ht="34.5" customHeight="1" x14ac:dyDescent="0.35">
      <c r="B25" s="205"/>
      <c r="C25" s="11" t="s">
        <v>95</v>
      </c>
      <c r="D25" s="10" t="s">
        <v>156</v>
      </c>
      <c r="E25" s="107">
        <f>E24/'Table 10'!C$8</f>
        <v>3.686461723058958</v>
      </c>
      <c r="F25" s="107">
        <f>F24/'Table 10'!D$8</f>
        <v>18.021469988245688</v>
      </c>
      <c r="G25" s="107">
        <f>G24/'Table 10'!E$8</f>
        <v>2.3724353213184379</v>
      </c>
      <c r="H25" s="107">
        <f>H24/'Table 10'!F$8</f>
        <v>3.5079699364339474</v>
      </c>
      <c r="I25" s="107">
        <f>I24/'Table 10'!G$8</f>
        <v>5.1506421242650458</v>
      </c>
      <c r="J25" s="10" t="s">
        <v>152</v>
      </c>
      <c r="K25" s="214"/>
    </row>
    <row r="26" spans="2:11" ht="34.5" customHeight="1" x14ac:dyDescent="0.35">
      <c r="B26" s="207" t="s">
        <v>739</v>
      </c>
      <c r="C26" s="11" t="s">
        <v>740</v>
      </c>
      <c r="D26" s="103" t="s">
        <v>145</v>
      </c>
      <c r="E26" s="105">
        <v>12769.02723333334</v>
      </c>
      <c r="F26" s="105">
        <v>27160.818349999983</v>
      </c>
      <c r="G26" s="105">
        <v>14389.7819</v>
      </c>
      <c r="H26" s="105">
        <v>45531.667516666661</v>
      </c>
      <c r="I26" s="105">
        <v>24591.124666666663</v>
      </c>
      <c r="J26" s="102" t="s">
        <v>146</v>
      </c>
      <c r="K26" s="216" t="s">
        <v>751</v>
      </c>
    </row>
    <row r="27" spans="2:11" ht="34.5" customHeight="1" x14ac:dyDescent="0.35">
      <c r="B27" s="207"/>
      <c r="C27" s="11" t="s">
        <v>742</v>
      </c>
      <c r="D27" s="103" t="s">
        <v>147</v>
      </c>
      <c r="E27" s="107">
        <f>E26/'Table 10'!C$8</f>
        <v>0.62460136796403731</v>
      </c>
      <c r="F27" s="107">
        <f>F26/'Table 10'!D$8</f>
        <v>7.4033974288344462</v>
      </c>
      <c r="G27" s="107">
        <f>G26/'Table 10'!E$8</f>
        <v>0.63544396967233518</v>
      </c>
      <c r="H27" s="107">
        <f>H26/'Table 10'!F$8</f>
        <v>3.7397772245977796</v>
      </c>
      <c r="I27" s="107">
        <f>I26/'Table 10'!G$8</f>
        <v>2.514278917982959</v>
      </c>
      <c r="J27" s="102" t="s">
        <v>148</v>
      </c>
      <c r="K27" s="217"/>
    </row>
    <row r="28" spans="2:11" ht="34.5" customHeight="1" x14ac:dyDescent="0.35">
      <c r="B28" s="207"/>
      <c r="C28" s="11" t="s">
        <v>741</v>
      </c>
      <c r="D28" s="103" t="s">
        <v>149</v>
      </c>
      <c r="E28" s="135">
        <v>31141.941466666663</v>
      </c>
      <c r="F28" s="135">
        <v>16386.239650000003</v>
      </c>
      <c r="G28" s="135">
        <v>8298.2782000000025</v>
      </c>
      <c r="H28" s="135">
        <v>47840.569216666678</v>
      </c>
      <c r="I28" s="135">
        <v>20950.306149999997</v>
      </c>
      <c r="J28" s="103" t="s">
        <v>150</v>
      </c>
      <c r="K28" s="213" t="s">
        <v>752</v>
      </c>
    </row>
    <row r="29" spans="2:11" ht="34.5" customHeight="1" x14ac:dyDescent="0.35">
      <c r="B29" s="207"/>
      <c r="C29" s="11" t="s">
        <v>743</v>
      </c>
      <c r="D29" s="103" t="s">
        <v>151</v>
      </c>
      <c r="E29" s="107">
        <f>E28/'Table 10'!C$8</f>
        <v>1.5233187999128606</v>
      </c>
      <c r="F29" s="107">
        <f>F28/'Table 10'!D$8</f>
        <v>4.4665018163223031</v>
      </c>
      <c r="G29" s="107">
        <f>G28/'Table 10'!E$8</f>
        <v>0.36644689109939893</v>
      </c>
      <c r="H29" s="107">
        <f>H28/'Table 10'!F$8</f>
        <v>3.9294205753126294</v>
      </c>
      <c r="I29" s="107">
        <f>I28/'Table 10'!G$8</f>
        <v>2.1420294432338309</v>
      </c>
      <c r="J29" s="103" t="s">
        <v>152</v>
      </c>
      <c r="K29" s="214"/>
    </row>
    <row r="30" spans="2:11" ht="34.5" customHeight="1" x14ac:dyDescent="0.35">
      <c r="B30" s="207"/>
      <c r="C30" s="11" t="s">
        <v>744</v>
      </c>
      <c r="D30" s="103" t="s">
        <v>153</v>
      </c>
      <c r="E30" s="109">
        <v>9.5655674885172033</v>
      </c>
      <c r="F30" s="109">
        <v>-49.72577045354997</v>
      </c>
      <c r="G30" s="109">
        <v>-1.1264759971961666</v>
      </c>
      <c r="H30" s="109">
        <v>0.8627422237918978</v>
      </c>
      <c r="I30" s="109">
        <v>14.286087604353732</v>
      </c>
      <c r="J30" s="103" t="s">
        <v>154</v>
      </c>
      <c r="K30" s="104" t="s">
        <v>753</v>
      </c>
    </row>
    <row r="31" spans="2:11" ht="34.5" customHeight="1" x14ac:dyDescent="0.35">
      <c r="B31" s="207"/>
      <c r="C31" s="11" t="s">
        <v>745</v>
      </c>
      <c r="D31" s="103" t="s">
        <v>155</v>
      </c>
      <c r="E31" s="135">
        <v>20991.402283333337</v>
      </c>
      <c r="F31" s="135">
        <v>15922.474383333336</v>
      </c>
      <c r="G31" s="135">
        <v>8279.5770833333336</v>
      </c>
      <c r="H31" s="135">
        <v>9208.2794833333355</v>
      </c>
      <c r="I31" s="135">
        <v>20827.461149999992</v>
      </c>
      <c r="J31" s="103" t="s">
        <v>150</v>
      </c>
      <c r="K31" s="213" t="s">
        <v>754</v>
      </c>
    </row>
    <row r="32" spans="2:11" ht="34.5" customHeight="1" x14ac:dyDescent="0.35">
      <c r="B32" s="207"/>
      <c r="C32" s="11" t="s">
        <v>746</v>
      </c>
      <c r="D32" s="103" t="s">
        <v>156</v>
      </c>
      <c r="E32" s="107">
        <f>E31/'Table 10'!C$8</f>
        <v>1.026801677376542</v>
      </c>
      <c r="F32" s="107">
        <f>F31/'Table 10'!D$8</f>
        <v>4.3400903607255419</v>
      </c>
      <c r="G32" s="107">
        <f>G31/'Table 10'!E$8</f>
        <v>0.36562106122271587</v>
      </c>
      <c r="H32" s="107">
        <f>H31/'Table 10'!F$8</f>
        <v>0.75632885347095047</v>
      </c>
      <c r="I32" s="107">
        <f>I31/'Table 10'!G$8</f>
        <v>2.1294693591438874</v>
      </c>
      <c r="J32" s="103" t="s">
        <v>152</v>
      </c>
      <c r="K32" s="214"/>
    </row>
    <row r="33" spans="2:11" ht="29.25" customHeight="1" x14ac:dyDescent="0.35">
      <c r="B33" s="205" t="s">
        <v>157</v>
      </c>
      <c r="C33" s="11" t="s">
        <v>19</v>
      </c>
      <c r="D33" s="10" t="s">
        <v>158</v>
      </c>
      <c r="E33" s="54">
        <v>0</v>
      </c>
      <c r="F33" s="54">
        <v>0</v>
      </c>
      <c r="G33" s="54">
        <v>0</v>
      </c>
      <c r="H33" s="54">
        <v>0</v>
      </c>
      <c r="I33" s="54">
        <v>0</v>
      </c>
      <c r="J33" s="10" t="s">
        <v>159</v>
      </c>
      <c r="K33" s="108"/>
    </row>
    <row r="34" spans="2:11" ht="39" customHeight="1" x14ac:dyDescent="0.35">
      <c r="B34" s="205"/>
      <c r="C34" s="11" t="s">
        <v>7</v>
      </c>
      <c r="D34" s="10" t="s">
        <v>160</v>
      </c>
      <c r="E34" s="54">
        <v>0</v>
      </c>
      <c r="F34" s="54">
        <v>0</v>
      </c>
      <c r="G34" s="54">
        <v>0</v>
      </c>
      <c r="H34" s="54">
        <v>0</v>
      </c>
      <c r="I34" s="54">
        <v>0</v>
      </c>
      <c r="J34" s="10" t="s">
        <v>161</v>
      </c>
      <c r="K34" s="108"/>
    </row>
    <row r="35" spans="2:11" ht="34.5" customHeight="1" x14ac:dyDescent="0.35">
      <c r="B35" s="12" t="s">
        <v>162</v>
      </c>
      <c r="C35" s="11" t="s">
        <v>20</v>
      </c>
      <c r="D35" s="10" t="s">
        <v>163</v>
      </c>
      <c r="E35" s="54">
        <v>0</v>
      </c>
      <c r="F35" s="54">
        <v>0</v>
      </c>
      <c r="G35" s="54">
        <v>0</v>
      </c>
      <c r="H35" s="54">
        <v>0</v>
      </c>
      <c r="I35" s="54">
        <v>0</v>
      </c>
      <c r="J35" s="10" t="s">
        <v>159</v>
      </c>
      <c r="K35" s="108"/>
    </row>
    <row r="36" spans="2:11" ht="93" customHeight="1" x14ac:dyDescent="0.35">
      <c r="B36" s="206" t="s">
        <v>549</v>
      </c>
      <c r="C36" s="11" t="s">
        <v>21</v>
      </c>
      <c r="D36" s="10" t="s">
        <v>164</v>
      </c>
      <c r="E36" s="53" t="s">
        <v>51</v>
      </c>
      <c r="F36" s="53" t="s">
        <v>51</v>
      </c>
      <c r="G36" s="53" t="s">
        <v>51</v>
      </c>
      <c r="H36" s="53" t="s">
        <v>51</v>
      </c>
      <c r="I36" s="53">
        <v>0</v>
      </c>
      <c r="J36" s="10" t="s">
        <v>165</v>
      </c>
      <c r="K36" s="55" t="s">
        <v>846</v>
      </c>
    </row>
    <row r="37" spans="2:11" ht="99.75" customHeight="1" x14ac:dyDescent="0.35">
      <c r="B37" s="206"/>
      <c r="C37" s="11" t="s">
        <v>8</v>
      </c>
      <c r="D37" s="10" t="s">
        <v>166</v>
      </c>
      <c r="E37" s="53" t="s">
        <v>51</v>
      </c>
      <c r="F37" s="53" t="s">
        <v>51</v>
      </c>
      <c r="G37" s="53" t="s">
        <v>51</v>
      </c>
      <c r="H37" s="53" t="s">
        <v>51</v>
      </c>
      <c r="I37" s="53">
        <v>0</v>
      </c>
      <c r="J37" s="10" t="s">
        <v>167</v>
      </c>
      <c r="K37" s="55" t="s">
        <v>847</v>
      </c>
    </row>
    <row r="38" spans="2:11" ht="34.5" customHeight="1" x14ac:dyDescent="0.35">
      <c r="B38" s="206" t="s">
        <v>168</v>
      </c>
      <c r="C38" s="11" t="s">
        <v>22</v>
      </c>
      <c r="D38" s="10" t="s">
        <v>169</v>
      </c>
      <c r="E38" s="64">
        <v>98492.46</v>
      </c>
      <c r="F38" s="64">
        <v>0</v>
      </c>
      <c r="G38" s="64">
        <v>0</v>
      </c>
      <c r="H38" s="64">
        <v>0</v>
      </c>
      <c r="I38" s="64">
        <v>225692</v>
      </c>
      <c r="J38" s="10" t="s">
        <v>170</v>
      </c>
      <c r="K38" s="108"/>
    </row>
    <row r="39" spans="2:11" ht="34.5" customHeight="1" x14ac:dyDescent="0.35">
      <c r="B39" s="206"/>
      <c r="C39" s="11" t="s">
        <v>9</v>
      </c>
      <c r="D39" s="10" t="s">
        <v>171</v>
      </c>
      <c r="E39" s="64">
        <f>E38/'Table 10'!C8</f>
        <v>4.8177926263286617</v>
      </c>
      <c r="F39" s="64">
        <f>F38/'Table 10'!D8</f>
        <v>0</v>
      </c>
      <c r="G39" s="64">
        <f>G38/'Table 10'!E8</f>
        <v>0</v>
      </c>
      <c r="H39" s="64">
        <f>H38/'Table 10'!F8</f>
        <v>0</v>
      </c>
      <c r="I39" s="64">
        <f>I38/'Table 10'!G8</f>
        <v>23.075505705787975</v>
      </c>
      <c r="J39" s="10" t="s">
        <v>172</v>
      </c>
      <c r="K39" s="108"/>
    </row>
    <row r="40" spans="2:11" ht="34.5" customHeight="1" x14ac:dyDescent="0.35">
      <c r="B40" s="206" t="s">
        <v>173</v>
      </c>
      <c r="C40" s="11" t="s">
        <v>23</v>
      </c>
      <c r="D40" s="10" t="s">
        <v>174</v>
      </c>
      <c r="E40" s="64">
        <v>85728.21</v>
      </c>
      <c r="F40" s="64">
        <v>0</v>
      </c>
      <c r="G40" s="64">
        <v>0</v>
      </c>
      <c r="H40" s="64">
        <v>0</v>
      </c>
      <c r="I40" s="64">
        <v>15000</v>
      </c>
      <c r="J40" s="10" t="s">
        <v>175</v>
      </c>
      <c r="K40" s="108"/>
    </row>
    <row r="41" spans="2:11" ht="34.5" customHeight="1" x14ac:dyDescent="0.35">
      <c r="B41" s="206"/>
      <c r="C41" s="11" t="s">
        <v>24</v>
      </c>
      <c r="D41" s="10" t="s">
        <v>176</v>
      </c>
      <c r="E41" s="96">
        <f>E40/'Table 10'!C8</f>
        <v>4.1934249383795983</v>
      </c>
      <c r="F41" s="96">
        <f>F40/'Table 10'!D8</f>
        <v>0</v>
      </c>
      <c r="G41" s="96">
        <f>G40/'Table 10'!E8</f>
        <v>0</v>
      </c>
      <c r="H41" s="96">
        <f>H40/'Table 10'!F8</f>
        <v>0</v>
      </c>
      <c r="I41" s="96">
        <f>I40/'Table 10'!G8</f>
        <v>1.5336502205962976</v>
      </c>
      <c r="J41" s="10" t="s">
        <v>177</v>
      </c>
      <c r="K41" s="108"/>
    </row>
    <row r="42" spans="2:11" ht="76.5" customHeight="1" x14ac:dyDescent="0.35">
      <c r="B42" s="206" t="s">
        <v>178</v>
      </c>
      <c r="C42" s="11" t="s">
        <v>25</v>
      </c>
      <c r="D42" s="10" t="s">
        <v>38</v>
      </c>
      <c r="E42" s="54">
        <v>16</v>
      </c>
      <c r="F42" s="54">
        <v>5</v>
      </c>
      <c r="G42" s="54">
        <v>3</v>
      </c>
      <c r="H42" s="54">
        <v>1</v>
      </c>
      <c r="I42" s="54">
        <v>126</v>
      </c>
      <c r="J42" s="10" t="s">
        <v>179</v>
      </c>
      <c r="K42" s="213" t="s">
        <v>848</v>
      </c>
    </row>
    <row r="43" spans="2:11" ht="76.5" customHeight="1" x14ac:dyDescent="0.35">
      <c r="B43" s="206"/>
      <c r="C43" s="11" t="s">
        <v>26</v>
      </c>
      <c r="D43" s="10" t="s">
        <v>180</v>
      </c>
      <c r="E43" s="97">
        <f>E42/'Table 10'!C$8</f>
        <v>7.8264551440037722E-4</v>
      </c>
      <c r="F43" s="97">
        <f>F42/'Table 10'!$D$8</f>
        <v>1.3628818788581256E-3</v>
      </c>
      <c r="G43" s="97">
        <f>G42/'Table 10'!E8</f>
        <v>1.3247816556670713E-4</v>
      </c>
      <c r="H43" s="97">
        <f>H42/'Table 10'!F8</f>
        <v>8.2135740432279385E-5</v>
      </c>
      <c r="I43" s="97">
        <f>I42/'Table 10'!G8</f>
        <v>1.28826618530089E-2</v>
      </c>
      <c r="J43" s="10" t="s">
        <v>181</v>
      </c>
      <c r="K43" s="214"/>
    </row>
    <row r="44" spans="2:11" ht="26.25" customHeight="1" x14ac:dyDescent="0.35">
      <c r="B44" s="206" t="s">
        <v>182</v>
      </c>
      <c r="C44" s="11" t="s">
        <v>27</v>
      </c>
      <c r="D44" s="13" t="s">
        <v>183</v>
      </c>
      <c r="E44" s="110">
        <v>2</v>
      </c>
      <c r="F44" s="110">
        <v>6</v>
      </c>
      <c r="G44" s="110">
        <v>4</v>
      </c>
      <c r="H44" s="110">
        <v>4</v>
      </c>
      <c r="I44" s="110">
        <v>14</v>
      </c>
      <c r="J44" s="10" t="s">
        <v>130</v>
      </c>
      <c r="K44" s="213" t="s">
        <v>849</v>
      </c>
    </row>
    <row r="45" spans="2:11" ht="23.25" customHeight="1" x14ac:dyDescent="0.35">
      <c r="B45" s="206"/>
      <c r="C45" s="11" t="s">
        <v>28</v>
      </c>
      <c r="D45" s="10" t="s">
        <v>184</v>
      </c>
      <c r="E45" s="127">
        <f>E44/'Table 10'!C$8</f>
        <v>9.7830689300047152E-5</v>
      </c>
      <c r="F45" s="127">
        <f>F44/'Table 10'!D$8</f>
        <v>1.6354582546297507E-3</v>
      </c>
      <c r="G45" s="127">
        <f>G44/'Table 10'!E$8</f>
        <v>1.7663755408894286E-4</v>
      </c>
      <c r="H45" s="127">
        <f>H44/'Table 10'!F$8</f>
        <v>3.2854296172911754E-4</v>
      </c>
      <c r="I45" s="127">
        <f>I44/'Table 10'!G$8</f>
        <v>1.4314068725565445E-3</v>
      </c>
      <c r="J45" s="10" t="s">
        <v>185</v>
      </c>
      <c r="K45" s="215"/>
    </row>
    <row r="46" spans="2:11" ht="18.75" customHeight="1" x14ac:dyDescent="0.35">
      <c r="B46" s="206"/>
      <c r="C46" s="11" t="s">
        <v>29</v>
      </c>
      <c r="D46" s="10" t="s">
        <v>39</v>
      </c>
      <c r="E46" s="111">
        <v>2</v>
      </c>
      <c r="F46" s="111">
        <v>2</v>
      </c>
      <c r="G46" s="111">
        <v>1</v>
      </c>
      <c r="H46" s="111">
        <v>3</v>
      </c>
      <c r="I46" s="111">
        <v>5</v>
      </c>
      <c r="J46" s="10" t="s">
        <v>186</v>
      </c>
      <c r="K46" s="215"/>
    </row>
    <row r="47" spans="2:11" ht="24" customHeight="1" x14ac:dyDescent="0.35">
      <c r="B47" s="206"/>
      <c r="C47" s="11" t="s">
        <v>30</v>
      </c>
      <c r="D47" s="10" t="s">
        <v>40</v>
      </c>
      <c r="E47" s="111">
        <v>0</v>
      </c>
      <c r="F47" s="111">
        <v>0</v>
      </c>
      <c r="G47" s="111">
        <v>0</v>
      </c>
      <c r="H47" s="111">
        <v>0</v>
      </c>
      <c r="I47" s="111">
        <v>0</v>
      </c>
      <c r="J47" s="10" t="s">
        <v>187</v>
      </c>
      <c r="K47" s="215"/>
    </row>
    <row r="48" spans="2:11" ht="24" customHeight="1" x14ac:dyDescent="0.35">
      <c r="B48" s="206"/>
      <c r="C48" s="11" t="s">
        <v>31</v>
      </c>
      <c r="D48" s="10" t="s">
        <v>41</v>
      </c>
      <c r="E48" s="111">
        <v>2</v>
      </c>
      <c r="F48" s="111">
        <v>2</v>
      </c>
      <c r="G48" s="111">
        <v>1</v>
      </c>
      <c r="H48" s="111">
        <v>3</v>
      </c>
      <c r="I48" s="111">
        <v>5</v>
      </c>
      <c r="J48" s="10" t="s">
        <v>188</v>
      </c>
      <c r="K48" s="215"/>
    </row>
    <row r="49" spans="2:11" ht="23.25" customHeight="1" x14ac:dyDescent="0.35">
      <c r="B49" s="206"/>
      <c r="C49" s="11" t="s">
        <v>32</v>
      </c>
      <c r="D49" s="10" t="s">
        <v>42</v>
      </c>
      <c r="E49" s="111">
        <v>0</v>
      </c>
      <c r="F49" s="111">
        <v>0</v>
      </c>
      <c r="G49" s="111">
        <v>0</v>
      </c>
      <c r="H49" s="111">
        <v>0</v>
      </c>
      <c r="I49" s="111">
        <v>0</v>
      </c>
      <c r="J49" s="10" t="s">
        <v>189</v>
      </c>
      <c r="K49" s="215"/>
    </row>
    <row r="50" spans="2:11" x14ac:dyDescent="0.35">
      <c r="B50" s="206"/>
      <c r="C50" s="11" t="s">
        <v>33</v>
      </c>
      <c r="D50" s="10" t="s">
        <v>43</v>
      </c>
      <c r="E50" s="106">
        <f>E46/'Table 10'!C$8</f>
        <v>9.7830689300047152E-5</v>
      </c>
      <c r="F50" s="106">
        <f>F46/'Table 10'!D$8</f>
        <v>5.4515275154325019E-4</v>
      </c>
      <c r="G50" s="106">
        <f>G46/'Table 10'!E$8</f>
        <v>4.4159388522235714E-5</v>
      </c>
      <c r="H50" s="106">
        <f>H46/'Table 10'!F$8</f>
        <v>2.4640722129683814E-4</v>
      </c>
      <c r="I50" s="106">
        <f>I46/'Table 10'!G$8</f>
        <v>5.1121674019876588E-4</v>
      </c>
      <c r="J50" s="10" t="s">
        <v>190</v>
      </c>
      <c r="K50" s="215"/>
    </row>
    <row r="51" spans="2:11" ht="26.25" customHeight="1" x14ac:dyDescent="0.35">
      <c r="B51" s="206"/>
      <c r="C51" s="11" t="s">
        <v>191</v>
      </c>
      <c r="D51" s="10" t="s">
        <v>90</v>
      </c>
      <c r="E51" s="106">
        <f>E47/'Table 10'!C$8</f>
        <v>0</v>
      </c>
      <c r="F51" s="106">
        <f>F47/'Table 10'!D$8</f>
        <v>0</v>
      </c>
      <c r="G51" s="106">
        <f>G47/'Table 10'!E$8</f>
        <v>0</v>
      </c>
      <c r="H51" s="106">
        <f>H47/'Table 10'!F$8</f>
        <v>0</v>
      </c>
      <c r="I51" s="106">
        <f>I47/'Table 10'!G$8</f>
        <v>0</v>
      </c>
      <c r="J51" s="10" t="s">
        <v>192</v>
      </c>
      <c r="K51" s="215"/>
    </row>
    <row r="52" spans="2:11" ht="26.25" customHeight="1" x14ac:dyDescent="0.35">
      <c r="B52" s="206"/>
      <c r="C52" s="11" t="s">
        <v>193</v>
      </c>
      <c r="D52" s="10" t="s">
        <v>44</v>
      </c>
      <c r="E52" s="106">
        <f>E48/'Table 10'!C$8</f>
        <v>9.7830689300047152E-5</v>
      </c>
      <c r="F52" s="106">
        <f>F48/'Table 10'!D$8</f>
        <v>5.4515275154325019E-4</v>
      </c>
      <c r="G52" s="106">
        <f>G48/'Table 10'!E$8</f>
        <v>4.4159388522235714E-5</v>
      </c>
      <c r="H52" s="106">
        <f>H48/'Table 10'!F$8</f>
        <v>2.4640722129683814E-4</v>
      </c>
      <c r="I52" s="106">
        <f>I48/'Table 10'!G$8</f>
        <v>5.1121674019876588E-4</v>
      </c>
      <c r="J52" s="10" t="s">
        <v>194</v>
      </c>
      <c r="K52" s="215"/>
    </row>
    <row r="53" spans="2:11" ht="27" customHeight="1" x14ac:dyDescent="0.35">
      <c r="B53" s="206"/>
      <c r="C53" s="11" t="s">
        <v>195</v>
      </c>
      <c r="D53" s="10" t="s">
        <v>47</v>
      </c>
      <c r="E53" s="106">
        <f>E49/'Table 10'!C$8</f>
        <v>0</v>
      </c>
      <c r="F53" s="106">
        <f>F49/'Table 10'!D$8</f>
        <v>0</v>
      </c>
      <c r="G53" s="106">
        <f>G49/'Table 10'!E$8</f>
        <v>0</v>
      </c>
      <c r="H53" s="106">
        <f>H49/'Table 10'!F$8</f>
        <v>0</v>
      </c>
      <c r="I53" s="106">
        <f>I49/'Table 10'!G$8</f>
        <v>0</v>
      </c>
      <c r="J53" s="10" t="s">
        <v>196</v>
      </c>
      <c r="K53" s="215"/>
    </row>
    <row r="54" spans="2:11" ht="23.25" customHeight="1" x14ac:dyDescent="0.35">
      <c r="B54" s="206"/>
      <c r="C54" s="11" t="s">
        <v>34</v>
      </c>
      <c r="D54" s="10" t="s">
        <v>45</v>
      </c>
      <c r="E54" s="111">
        <v>0</v>
      </c>
      <c r="F54" s="111">
        <v>4</v>
      </c>
      <c r="G54" s="111">
        <v>3</v>
      </c>
      <c r="H54" s="111">
        <v>1</v>
      </c>
      <c r="I54" s="111">
        <v>9</v>
      </c>
      <c r="J54" s="10" t="s">
        <v>197</v>
      </c>
      <c r="K54" s="215"/>
    </row>
    <row r="55" spans="2:11" ht="28.5" customHeight="1" x14ac:dyDescent="0.35">
      <c r="B55" s="206"/>
      <c r="C55" s="11" t="s">
        <v>35</v>
      </c>
      <c r="D55" s="10" t="s">
        <v>46</v>
      </c>
      <c r="E55" s="106">
        <f>E54/'Table 10'!C$8</f>
        <v>0</v>
      </c>
      <c r="F55" s="106">
        <f>F54/'Table 10'!D$8</f>
        <v>1.0903055030865004E-3</v>
      </c>
      <c r="G55" s="106">
        <f>G54/'Table 10'!E$8</f>
        <v>1.3247816556670713E-4</v>
      </c>
      <c r="H55" s="106">
        <f>H54/'Table 10'!F$8</f>
        <v>8.2135740432279385E-5</v>
      </c>
      <c r="I55" s="106">
        <f>I54/'Table 10'!G$8</f>
        <v>9.2019013235777858E-4</v>
      </c>
      <c r="J55" s="10" t="s">
        <v>198</v>
      </c>
      <c r="K55" s="214"/>
    </row>
    <row r="56" spans="2:11" ht="42" x14ac:dyDescent="0.35">
      <c r="B56" s="204" t="s">
        <v>199</v>
      </c>
      <c r="C56" s="11" t="s">
        <v>36</v>
      </c>
      <c r="D56" s="10" t="s">
        <v>48</v>
      </c>
      <c r="E56" s="106">
        <v>0</v>
      </c>
      <c r="F56" s="106">
        <v>0</v>
      </c>
      <c r="G56" s="106">
        <v>0</v>
      </c>
      <c r="H56" s="106">
        <v>0</v>
      </c>
      <c r="I56" s="106">
        <v>0</v>
      </c>
      <c r="J56" s="13" t="s">
        <v>200</v>
      </c>
      <c r="K56" s="108"/>
    </row>
    <row r="57" spans="2:11" ht="31.5" x14ac:dyDescent="0.35">
      <c r="B57" s="204"/>
      <c r="C57" s="11" t="s">
        <v>201</v>
      </c>
      <c r="D57" s="10" t="s">
        <v>49</v>
      </c>
      <c r="E57" s="106">
        <v>0</v>
      </c>
      <c r="F57" s="106">
        <v>0</v>
      </c>
      <c r="G57" s="106">
        <v>0</v>
      </c>
      <c r="H57" s="106">
        <v>0</v>
      </c>
      <c r="I57" s="106">
        <v>0</v>
      </c>
      <c r="J57" s="13" t="s">
        <v>202</v>
      </c>
      <c r="K57" s="108"/>
    </row>
    <row r="59" spans="2:11" x14ac:dyDescent="0.35">
      <c r="E59" s="126"/>
      <c r="F59" s="126"/>
      <c r="G59" s="126"/>
      <c r="H59" s="126"/>
      <c r="I59" s="126"/>
    </row>
  </sheetData>
  <mergeCells count="31">
    <mergeCell ref="K42:K43"/>
    <mergeCell ref="K19:K20"/>
    <mergeCell ref="K21:K22"/>
    <mergeCell ref="K24:K25"/>
    <mergeCell ref="K26:K27"/>
    <mergeCell ref="K28:K29"/>
    <mergeCell ref="K31:K32"/>
    <mergeCell ref="J6:J7"/>
    <mergeCell ref="B40:B41"/>
    <mergeCell ref="B42:B43"/>
    <mergeCell ref="B44:B55"/>
    <mergeCell ref="K6:K7"/>
    <mergeCell ref="B6:B7"/>
    <mergeCell ref="C6:C7"/>
    <mergeCell ref="D6:D7"/>
    <mergeCell ref="E6:I6"/>
    <mergeCell ref="K16:K17"/>
    <mergeCell ref="B12:B15"/>
    <mergeCell ref="K8:K9"/>
    <mergeCell ref="K10:K11"/>
    <mergeCell ref="K12:K13"/>
    <mergeCell ref="K14:K15"/>
    <mergeCell ref="K44:K55"/>
    <mergeCell ref="B56:B57"/>
    <mergeCell ref="B8:B11"/>
    <mergeCell ref="B16:B18"/>
    <mergeCell ref="B19:B25"/>
    <mergeCell ref="B33:B34"/>
    <mergeCell ref="B36:B37"/>
    <mergeCell ref="B38:B39"/>
    <mergeCell ref="B26:B3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51"/>
  <sheetViews>
    <sheetView workbookViewId="0">
      <selection activeCell="L10" sqref="L10:L15"/>
    </sheetView>
  </sheetViews>
  <sheetFormatPr defaultRowHeight="14.5" x14ac:dyDescent="0.35"/>
  <cols>
    <col min="2" max="2" width="17.54296875" customWidth="1"/>
    <col min="3" max="3" width="12.7265625" customWidth="1"/>
    <col min="9" max="9" width="13.1796875" customWidth="1"/>
    <col min="15" max="15" width="14" customWidth="1"/>
    <col min="17" max="17" width="18.453125" customWidth="1"/>
  </cols>
  <sheetData>
    <row r="1" spans="1:17" ht="26" x14ac:dyDescent="0.6">
      <c r="A1" s="6" t="s">
        <v>125</v>
      </c>
    </row>
    <row r="2" spans="1:17" x14ac:dyDescent="0.35">
      <c r="A2" t="s">
        <v>0</v>
      </c>
      <c r="B2" s="16" t="s">
        <v>476</v>
      </c>
      <c r="C2" t="s">
        <v>409</v>
      </c>
    </row>
    <row r="3" spans="1:17" x14ac:dyDescent="0.35">
      <c r="A3" s="5" t="s">
        <v>76</v>
      </c>
      <c r="B3" s="16">
        <v>29</v>
      </c>
      <c r="C3" t="s">
        <v>82</v>
      </c>
    </row>
    <row r="9" spans="1:17" ht="68" x14ac:dyDescent="0.35">
      <c r="A9" s="35"/>
      <c r="B9" s="36" t="s">
        <v>385</v>
      </c>
      <c r="C9" s="36" t="s">
        <v>386</v>
      </c>
      <c r="D9" s="36" t="s">
        <v>387</v>
      </c>
      <c r="E9" s="36" t="s">
        <v>388</v>
      </c>
      <c r="F9" s="36" t="s">
        <v>417</v>
      </c>
      <c r="G9" s="36" t="s">
        <v>390</v>
      </c>
      <c r="H9" s="36" t="s">
        <v>391</v>
      </c>
      <c r="I9" s="36" t="s">
        <v>392</v>
      </c>
      <c r="J9" s="36" t="s">
        <v>393</v>
      </c>
      <c r="K9" s="36" t="s">
        <v>416</v>
      </c>
      <c r="L9" s="36" t="s">
        <v>395</v>
      </c>
      <c r="M9" s="36" t="s">
        <v>396</v>
      </c>
      <c r="N9" s="36" t="s">
        <v>397</v>
      </c>
      <c r="O9" s="36" t="s">
        <v>113</v>
      </c>
      <c r="P9" s="35"/>
      <c r="Q9" s="34" t="s">
        <v>340</v>
      </c>
    </row>
    <row r="10" spans="1:17" x14ac:dyDescent="0.35">
      <c r="B10" s="280" t="s">
        <v>477</v>
      </c>
      <c r="C10" s="37" t="s">
        <v>398</v>
      </c>
      <c r="D10" s="290" t="s">
        <v>560</v>
      </c>
      <c r="E10" s="290" t="s">
        <v>561</v>
      </c>
      <c r="F10" s="290" t="s">
        <v>562</v>
      </c>
      <c r="G10" s="290" t="s">
        <v>51</v>
      </c>
      <c r="H10" s="290" t="s">
        <v>51</v>
      </c>
      <c r="I10" s="290" t="s">
        <v>585</v>
      </c>
      <c r="J10" s="290" t="s">
        <v>563</v>
      </c>
      <c r="K10" s="290" t="s">
        <v>565</v>
      </c>
      <c r="L10" s="290" t="s">
        <v>51</v>
      </c>
      <c r="M10" s="290" t="s">
        <v>51</v>
      </c>
      <c r="N10" s="290" t="s">
        <v>564</v>
      </c>
      <c r="O10" s="290" t="s">
        <v>566</v>
      </c>
      <c r="P10" s="7"/>
      <c r="Q10" s="326" t="s">
        <v>83</v>
      </c>
    </row>
    <row r="11" spans="1:17" x14ac:dyDescent="0.35">
      <c r="B11" s="280"/>
      <c r="C11" s="37" t="s">
        <v>399</v>
      </c>
      <c r="D11" s="308"/>
      <c r="E11" s="308"/>
      <c r="F11" s="308"/>
      <c r="G11" s="308"/>
      <c r="H11" s="308"/>
      <c r="I11" s="308"/>
      <c r="J11" s="308"/>
      <c r="K11" s="308"/>
      <c r="L11" s="308"/>
      <c r="M11" s="308"/>
      <c r="N11" s="308"/>
      <c r="O11" s="308"/>
      <c r="P11" s="7"/>
      <c r="Q11" s="326"/>
    </row>
    <row r="12" spans="1:17" x14ac:dyDescent="0.35">
      <c r="B12" s="280"/>
      <c r="C12" s="37">
        <v>2020</v>
      </c>
      <c r="D12" s="308"/>
      <c r="E12" s="308"/>
      <c r="F12" s="308"/>
      <c r="G12" s="308"/>
      <c r="H12" s="308"/>
      <c r="I12" s="308"/>
      <c r="J12" s="308"/>
      <c r="K12" s="308"/>
      <c r="L12" s="308"/>
      <c r="M12" s="308"/>
      <c r="N12" s="308"/>
      <c r="O12" s="308"/>
      <c r="P12" s="7"/>
      <c r="Q12" s="326"/>
    </row>
    <row r="13" spans="1:17" x14ac:dyDescent="0.35">
      <c r="B13" s="280"/>
      <c r="C13" s="37">
        <v>2021</v>
      </c>
      <c r="D13" s="308"/>
      <c r="E13" s="308"/>
      <c r="F13" s="308"/>
      <c r="G13" s="308"/>
      <c r="H13" s="308"/>
      <c r="I13" s="308"/>
      <c r="J13" s="308"/>
      <c r="K13" s="308"/>
      <c r="L13" s="308"/>
      <c r="M13" s="308"/>
      <c r="N13" s="308"/>
      <c r="O13" s="308"/>
      <c r="P13" s="7"/>
      <c r="Q13" s="326"/>
    </row>
    <row r="14" spans="1:17" x14ac:dyDescent="0.35">
      <c r="B14" s="280"/>
      <c r="C14" s="37">
        <v>2022</v>
      </c>
      <c r="D14" s="308"/>
      <c r="E14" s="308"/>
      <c r="F14" s="308"/>
      <c r="G14" s="308"/>
      <c r="H14" s="308"/>
      <c r="I14" s="308"/>
      <c r="J14" s="308"/>
      <c r="K14" s="308"/>
      <c r="L14" s="308"/>
      <c r="M14" s="308"/>
      <c r="N14" s="308"/>
      <c r="O14" s="308"/>
      <c r="P14" s="7"/>
      <c r="Q14" s="326"/>
    </row>
    <row r="15" spans="1:17" ht="22" x14ac:dyDescent="0.35">
      <c r="B15" s="280"/>
      <c r="C15" s="37" t="s">
        <v>400</v>
      </c>
      <c r="D15" s="309"/>
      <c r="E15" s="309"/>
      <c r="F15" s="309"/>
      <c r="G15" s="309"/>
      <c r="H15" s="309"/>
      <c r="I15" s="309"/>
      <c r="J15" s="309"/>
      <c r="K15" s="309"/>
      <c r="L15" s="309"/>
      <c r="M15" s="309"/>
      <c r="N15" s="309"/>
      <c r="O15" s="309"/>
      <c r="P15" s="7"/>
      <c r="Q15" s="326"/>
    </row>
    <row r="16" spans="1:17" x14ac:dyDescent="0.35">
      <c r="B16" s="280" t="s">
        <v>478</v>
      </c>
      <c r="C16" s="37" t="s">
        <v>398</v>
      </c>
      <c r="D16" s="290" t="s">
        <v>560</v>
      </c>
      <c r="E16" s="290" t="s">
        <v>561</v>
      </c>
      <c r="F16" s="290" t="s">
        <v>567</v>
      </c>
      <c r="G16" s="290" t="s">
        <v>51</v>
      </c>
      <c r="H16" s="290" t="s">
        <v>51</v>
      </c>
      <c r="I16" s="290" t="s">
        <v>585</v>
      </c>
      <c r="J16" s="290" t="s">
        <v>563</v>
      </c>
      <c r="K16" s="290" t="s">
        <v>565</v>
      </c>
      <c r="L16" s="290" t="s">
        <v>51</v>
      </c>
      <c r="M16" s="290" t="s">
        <v>51</v>
      </c>
      <c r="N16" s="290" t="s">
        <v>564</v>
      </c>
      <c r="O16" s="290" t="s">
        <v>568</v>
      </c>
      <c r="P16" s="7"/>
      <c r="Q16" s="326" t="s">
        <v>70</v>
      </c>
    </row>
    <row r="17" spans="2:17" x14ac:dyDescent="0.35">
      <c r="B17" s="280"/>
      <c r="C17" s="37" t="s">
        <v>399</v>
      </c>
      <c r="D17" s="308"/>
      <c r="E17" s="308"/>
      <c r="F17" s="308"/>
      <c r="G17" s="308"/>
      <c r="H17" s="308"/>
      <c r="I17" s="308"/>
      <c r="J17" s="308"/>
      <c r="K17" s="308"/>
      <c r="L17" s="308"/>
      <c r="M17" s="308"/>
      <c r="N17" s="308"/>
      <c r="O17" s="308"/>
      <c r="P17" s="7"/>
      <c r="Q17" s="326"/>
    </row>
    <row r="18" spans="2:17" x14ac:dyDescent="0.35">
      <c r="B18" s="280"/>
      <c r="C18" s="37">
        <v>2020</v>
      </c>
      <c r="D18" s="308"/>
      <c r="E18" s="308"/>
      <c r="F18" s="308"/>
      <c r="G18" s="308"/>
      <c r="H18" s="308"/>
      <c r="I18" s="308"/>
      <c r="J18" s="308"/>
      <c r="K18" s="308"/>
      <c r="L18" s="308"/>
      <c r="M18" s="308"/>
      <c r="N18" s="308"/>
      <c r="O18" s="308"/>
      <c r="P18" s="7"/>
      <c r="Q18" s="326"/>
    </row>
    <row r="19" spans="2:17" x14ac:dyDescent="0.35">
      <c r="B19" s="280"/>
      <c r="C19" s="37">
        <v>2021</v>
      </c>
      <c r="D19" s="308"/>
      <c r="E19" s="308"/>
      <c r="F19" s="308"/>
      <c r="G19" s="308"/>
      <c r="H19" s="308"/>
      <c r="I19" s="308"/>
      <c r="J19" s="308"/>
      <c r="K19" s="308"/>
      <c r="L19" s="308"/>
      <c r="M19" s="308"/>
      <c r="N19" s="308"/>
      <c r="O19" s="308"/>
      <c r="P19" s="7"/>
      <c r="Q19" s="326"/>
    </row>
    <row r="20" spans="2:17" x14ac:dyDescent="0.35">
      <c r="B20" s="280"/>
      <c r="C20" s="37">
        <v>2022</v>
      </c>
      <c r="D20" s="308"/>
      <c r="E20" s="308"/>
      <c r="F20" s="308"/>
      <c r="G20" s="308"/>
      <c r="H20" s="308"/>
      <c r="I20" s="308"/>
      <c r="J20" s="308"/>
      <c r="K20" s="308"/>
      <c r="L20" s="308"/>
      <c r="M20" s="308"/>
      <c r="N20" s="308"/>
      <c r="O20" s="308"/>
      <c r="P20" s="7"/>
      <c r="Q20" s="326"/>
    </row>
    <row r="21" spans="2:17" ht="22" x14ac:dyDescent="0.35">
      <c r="B21" s="280"/>
      <c r="C21" s="37" t="s">
        <v>400</v>
      </c>
      <c r="D21" s="309"/>
      <c r="E21" s="309"/>
      <c r="F21" s="309"/>
      <c r="G21" s="309"/>
      <c r="H21" s="309"/>
      <c r="I21" s="309"/>
      <c r="J21" s="309"/>
      <c r="K21" s="309"/>
      <c r="L21" s="309"/>
      <c r="M21" s="309"/>
      <c r="N21" s="309"/>
      <c r="O21" s="309"/>
      <c r="P21" s="7"/>
      <c r="Q21" s="326"/>
    </row>
    <row r="22" spans="2:17" x14ac:dyDescent="0.35">
      <c r="B22" s="280" t="s">
        <v>479</v>
      </c>
      <c r="C22" s="37" t="s">
        <v>398</v>
      </c>
      <c r="D22" s="290" t="s">
        <v>560</v>
      </c>
      <c r="E22" s="290" t="s">
        <v>561</v>
      </c>
      <c r="F22" s="290" t="s">
        <v>562</v>
      </c>
      <c r="G22" s="290" t="s">
        <v>51</v>
      </c>
      <c r="H22" s="290" t="s">
        <v>51</v>
      </c>
      <c r="I22" s="290" t="s">
        <v>585</v>
      </c>
      <c r="J22" s="290" t="s">
        <v>563</v>
      </c>
      <c r="K22" s="290" t="s">
        <v>565</v>
      </c>
      <c r="L22" s="290" t="s">
        <v>51</v>
      </c>
      <c r="M22" s="290" t="s">
        <v>51</v>
      </c>
      <c r="N22" s="310" t="s">
        <v>761</v>
      </c>
      <c r="O22" s="290" t="s">
        <v>566</v>
      </c>
      <c r="P22" s="7"/>
      <c r="Q22" s="326" t="s">
        <v>70</v>
      </c>
    </row>
    <row r="23" spans="2:17" x14ac:dyDescent="0.35">
      <c r="B23" s="280"/>
      <c r="C23" s="37" t="s">
        <v>399</v>
      </c>
      <c r="D23" s="308"/>
      <c r="E23" s="308"/>
      <c r="F23" s="308"/>
      <c r="G23" s="308"/>
      <c r="H23" s="308"/>
      <c r="I23" s="308"/>
      <c r="J23" s="308"/>
      <c r="K23" s="308"/>
      <c r="L23" s="308"/>
      <c r="M23" s="308"/>
      <c r="N23" s="321"/>
      <c r="O23" s="308"/>
      <c r="P23" s="7"/>
      <c r="Q23" s="326"/>
    </row>
    <row r="24" spans="2:17" x14ac:dyDescent="0.35">
      <c r="B24" s="280"/>
      <c r="C24" s="37">
        <v>2020</v>
      </c>
      <c r="D24" s="308"/>
      <c r="E24" s="308"/>
      <c r="F24" s="308"/>
      <c r="G24" s="308"/>
      <c r="H24" s="308"/>
      <c r="I24" s="308"/>
      <c r="J24" s="308"/>
      <c r="K24" s="308"/>
      <c r="L24" s="308"/>
      <c r="M24" s="308"/>
      <c r="N24" s="321"/>
      <c r="O24" s="308"/>
      <c r="P24" s="7"/>
      <c r="Q24" s="326"/>
    </row>
    <row r="25" spans="2:17" x14ac:dyDescent="0.35">
      <c r="B25" s="280"/>
      <c r="C25" s="37">
        <v>2021</v>
      </c>
      <c r="D25" s="308"/>
      <c r="E25" s="308"/>
      <c r="F25" s="308"/>
      <c r="G25" s="308"/>
      <c r="H25" s="308"/>
      <c r="I25" s="308"/>
      <c r="J25" s="308"/>
      <c r="K25" s="308"/>
      <c r="L25" s="308"/>
      <c r="M25" s="308"/>
      <c r="N25" s="321"/>
      <c r="O25" s="308"/>
      <c r="P25" s="7"/>
      <c r="Q25" s="326"/>
    </row>
    <row r="26" spans="2:17" x14ac:dyDescent="0.35">
      <c r="B26" s="280"/>
      <c r="C26" s="37">
        <v>2022</v>
      </c>
      <c r="D26" s="308"/>
      <c r="E26" s="308"/>
      <c r="F26" s="308"/>
      <c r="G26" s="308"/>
      <c r="H26" s="308"/>
      <c r="I26" s="308"/>
      <c r="J26" s="308"/>
      <c r="K26" s="308"/>
      <c r="L26" s="308"/>
      <c r="M26" s="308"/>
      <c r="N26" s="321"/>
      <c r="O26" s="308"/>
      <c r="P26" s="7"/>
      <c r="Q26" s="326"/>
    </row>
    <row r="27" spans="2:17" ht="22" x14ac:dyDescent="0.35">
      <c r="B27" s="280"/>
      <c r="C27" s="37" t="s">
        <v>400</v>
      </c>
      <c r="D27" s="309"/>
      <c r="E27" s="309"/>
      <c r="F27" s="309"/>
      <c r="G27" s="309"/>
      <c r="H27" s="309"/>
      <c r="I27" s="309"/>
      <c r="J27" s="309"/>
      <c r="K27" s="309"/>
      <c r="L27" s="309"/>
      <c r="M27" s="309"/>
      <c r="N27" s="322"/>
      <c r="O27" s="309"/>
      <c r="P27" s="7"/>
      <c r="Q27" s="326"/>
    </row>
    <row r="28" spans="2:17" x14ac:dyDescent="0.35">
      <c r="B28" s="280" t="s">
        <v>480</v>
      </c>
      <c r="C28" s="37" t="s">
        <v>398</v>
      </c>
      <c r="D28" s="290" t="s">
        <v>560</v>
      </c>
      <c r="E28" s="290" t="s">
        <v>561</v>
      </c>
      <c r="F28" s="290" t="s">
        <v>562</v>
      </c>
      <c r="G28" s="290" t="s">
        <v>51</v>
      </c>
      <c r="H28" s="290" t="s">
        <v>51</v>
      </c>
      <c r="I28" s="290" t="s">
        <v>585</v>
      </c>
      <c r="J28" s="290" t="s">
        <v>563</v>
      </c>
      <c r="K28" s="290" t="s">
        <v>565</v>
      </c>
      <c r="L28" s="290" t="s">
        <v>51</v>
      </c>
      <c r="M28" s="290" t="s">
        <v>51</v>
      </c>
      <c r="N28" s="290" t="s">
        <v>564</v>
      </c>
      <c r="O28" s="290" t="s">
        <v>566</v>
      </c>
      <c r="Q28" s="326" t="s">
        <v>83</v>
      </c>
    </row>
    <row r="29" spans="2:17" x14ac:dyDescent="0.35">
      <c r="B29" s="280"/>
      <c r="C29" s="37" t="s">
        <v>399</v>
      </c>
      <c r="D29" s="308"/>
      <c r="E29" s="308"/>
      <c r="F29" s="308"/>
      <c r="G29" s="308"/>
      <c r="H29" s="308"/>
      <c r="I29" s="308"/>
      <c r="J29" s="308"/>
      <c r="K29" s="308"/>
      <c r="L29" s="308"/>
      <c r="M29" s="308"/>
      <c r="N29" s="308"/>
      <c r="O29" s="308"/>
      <c r="Q29" s="326"/>
    </row>
    <row r="30" spans="2:17" x14ac:dyDescent="0.35">
      <c r="B30" s="280"/>
      <c r="C30" s="37">
        <v>2020</v>
      </c>
      <c r="D30" s="308"/>
      <c r="E30" s="308"/>
      <c r="F30" s="308"/>
      <c r="G30" s="308"/>
      <c r="H30" s="308"/>
      <c r="I30" s="308"/>
      <c r="J30" s="308"/>
      <c r="K30" s="308"/>
      <c r="L30" s="308"/>
      <c r="M30" s="308"/>
      <c r="N30" s="308"/>
      <c r="O30" s="308"/>
      <c r="Q30" s="326"/>
    </row>
    <row r="31" spans="2:17" x14ac:dyDescent="0.35">
      <c r="B31" s="280"/>
      <c r="C31" s="37">
        <v>2021</v>
      </c>
      <c r="D31" s="308"/>
      <c r="E31" s="308"/>
      <c r="F31" s="308"/>
      <c r="G31" s="308"/>
      <c r="H31" s="308"/>
      <c r="I31" s="308"/>
      <c r="J31" s="308"/>
      <c r="K31" s="308"/>
      <c r="L31" s="308"/>
      <c r="M31" s="308"/>
      <c r="N31" s="308"/>
      <c r="O31" s="308"/>
      <c r="Q31" s="326"/>
    </row>
    <row r="32" spans="2:17" x14ac:dyDescent="0.35">
      <c r="B32" s="280"/>
      <c r="C32" s="37">
        <v>2022</v>
      </c>
      <c r="D32" s="308"/>
      <c r="E32" s="308"/>
      <c r="F32" s="308"/>
      <c r="G32" s="308"/>
      <c r="H32" s="308"/>
      <c r="I32" s="308"/>
      <c r="J32" s="308"/>
      <c r="K32" s="308"/>
      <c r="L32" s="308"/>
      <c r="M32" s="308"/>
      <c r="N32" s="308"/>
      <c r="O32" s="308"/>
      <c r="Q32" s="326"/>
    </row>
    <row r="33" spans="2:17" ht="22" x14ac:dyDescent="0.35">
      <c r="B33" s="280"/>
      <c r="C33" s="37" t="s">
        <v>400</v>
      </c>
      <c r="D33" s="309"/>
      <c r="E33" s="309"/>
      <c r="F33" s="309"/>
      <c r="G33" s="309"/>
      <c r="H33" s="309"/>
      <c r="I33" s="309"/>
      <c r="J33" s="309"/>
      <c r="K33" s="309"/>
      <c r="L33" s="309"/>
      <c r="M33" s="309"/>
      <c r="N33" s="309"/>
      <c r="O33" s="309"/>
      <c r="Q33" s="326"/>
    </row>
    <row r="34" spans="2:17" x14ac:dyDescent="0.35">
      <c r="B34" s="280" t="s">
        <v>481</v>
      </c>
      <c r="C34" s="37" t="s">
        <v>398</v>
      </c>
      <c r="D34" s="290" t="s">
        <v>560</v>
      </c>
      <c r="E34" s="290" t="s">
        <v>561</v>
      </c>
      <c r="F34" s="290" t="s">
        <v>562</v>
      </c>
      <c r="G34" s="290" t="s">
        <v>51</v>
      </c>
      <c r="H34" s="290" t="s">
        <v>51</v>
      </c>
      <c r="I34" s="290" t="s">
        <v>585</v>
      </c>
      <c r="J34" s="290" t="s">
        <v>563</v>
      </c>
      <c r="K34" s="290" t="s">
        <v>565</v>
      </c>
      <c r="L34" s="290" t="s">
        <v>51</v>
      </c>
      <c r="M34" s="290" t="s">
        <v>51</v>
      </c>
      <c r="N34" s="290" t="s">
        <v>564</v>
      </c>
      <c r="O34" s="290" t="s">
        <v>566</v>
      </c>
      <c r="Q34" s="326" t="s">
        <v>83</v>
      </c>
    </row>
    <row r="35" spans="2:17" x14ac:dyDescent="0.35">
      <c r="B35" s="280"/>
      <c r="C35" s="37" t="s">
        <v>399</v>
      </c>
      <c r="D35" s="308"/>
      <c r="E35" s="308"/>
      <c r="F35" s="308"/>
      <c r="G35" s="308"/>
      <c r="H35" s="308"/>
      <c r="I35" s="308"/>
      <c r="J35" s="308"/>
      <c r="K35" s="308"/>
      <c r="L35" s="308"/>
      <c r="M35" s="308"/>
      <c r="N35" s="308"/>
      <c r="O35" s="308"/>
      <c r="Q35" s="326"/>
    </row>
    <row r="36" spans="2:17" x14ac:dyDescent="0.35">
      <c r="B36" s="280"/>
      <c r="C36" s="37">
        <v>2020</v>
      </c>
      <c r="D36" s="308"/>
      <c r="E36" s="308"/>
      <c r="F36" s="308"/>
      <c r="G36" s="308"/>
      <c r="H36" s="308"/>
      <c r="I36" s="308"/>
      <c r="J36" s="308"/>
      <c r="K36" s="308"/>
      <c r="L36" s="308"/>
      <c r="M36" s="308"/>
      <c r="N36" s="308"/>
      <c r="O36" s="308"/>
      <c r="Q36" s="326"/>
    </row>
    <row r="37" spans="2:17" x14ac:dyDescent="0.35">
      <c r="B37" s="280"/>
      <c r="C37" s="37">
        <v>2021</v>
      </c>
      <c r="D37" s="308"/>
      <c r="E37" s="308"/>
      <c r="F37" s="308"/>
      <c r="G37" s="308"/>
      <c r="H37" s="308"/>
      <c r="I37" s="308"/>
      <c r="J37" s="308"/>
      <c r="K37" s="308"/>
      <c r="L37" s="308"/>
      <c r="M37" s="308"/>
      <c r="N37" s="308"/>
      <c r="O37" s="308"/>
      <c r="Q37" s="326"/>
    </row>
    <row r="38" spans="2:17" x14ac:dyDescent="0.35">
      <c r="B38" s="280"/>
      <c r="C38" s="37">
        <v>2022</v>
      </c>
      <c r="D38" s="308"/>
      <c r="E38" s="308"/>
      <c r="F38" s="308"/>
      <c r="G38" s="308"/>
      <c r="H38" s="308"/>
      <c r="I38" s="308"/>
      <c r="J38" s="308"/>
      <c r="K38" s="308"/>
      <c r="L38" s="308"/>
      <c r="M38" s="308"/>
      <c r="N38" s="308"/>
      <c r="O38" s="308"/>
      <c r="Q38" s="326"/>
    </row>
    <row r="39" spans="2:17" ht="22" x14ac:dyDescent="0.35">
      <c r="B39" s="280"/>
      <c r="C39" s="37" t="s">
        <v>400</v>
      </c>
      <c r="D39" s="309"/>
      <c r="E39" s="309"/>
      <c r="F39" s="309"/>
      <c r="G39" s="309"/>
      <c r="H39" s="309"/>
      <c r="I39" s="309"/>
      <c r="J39" s="309"/>
      <c r="K39" s="309"/>
      <c r="L39" s="309"/>
      <c r="M39" s="309"/>
      <c r="N39" s="309"/>
      <c r="O39" s="309"/>
      <c r="Q39" s="326"/>
    </row>
    <row r="40" spans="2:17" ht="15" customHeight="1" x14ac:dyDescent="0.35">
      <c r="B40" s="280" t="s">
        <v>482</v>
      </c>
      <c r="C40" s="37" t="s">
        <v>398</v>
      </c>
      <c r="D40" s="327" t="s">
        <v>570</v>
      </c>
      <c r="E40" s="328"/>
      <c r="F40" s="328"/>
      <c r="G40" s="328"/>
      <c r="H40" s="328"/>
      <c r="I40" s="328"/>
      <c r="J40" s="328"/>
      <c r="K40" s="328"/>
      <c r="L40" s="328"/>
      <c r="M40" s="328"/>
      <c r="N40" s="328"/>
      <c r="O40" s="329"/>
      <c r="Q40" s="326" t="s">
        <v>83</v>
      </c>
    </row>
    <row r="41" spans="2:17" x14ac:dyDescent="0.35">
      <c r="B41" s="280"/>
      <c r="C41" s="37" t="s">
        <v>399</v>
      </c>
      <c r="D41" s="330"/>
      <c r="E41" s="331"/>
      <c r="F41" s="331"/>
      <c r="G41" s="331"/>
      <c r="H41" s="331"/>
      <c r="I41" s="331"/>
      <c r="J41" s="331"/>
      <c r="K41" s="331"/>
      <c r="L41" s="331"/>
      <c r="M41" s="331"/>
      <c r="N41" s="331"/>
      <c r="O41" s="332"/>
      <c r="Q41" s="326"/>
    </row>
    <row r="42" spans="2:17" x14ac:dyDescent="0.35">
      <c r="B42" s="280"/>
      <c r="C42" s="37">
        <v>2020</v>
      </c>
      <c r="D42" s="330"/>
      <c r="E42" s="331"/>
      <c r="F42" s="331"/>
      <c r="G42" s="331"/>
      <c r="H42" s="331"/>
      <c r="I42" s="331"/>
      <c r="J42" s="331"/>
      <c r="K42" s="331"/>
      <c r="L42" s="331"/>
      <c r="M42" s="331"/>
      <c r="N42" s="331"/>
      <c r="O42" s="332"/>
      <c r="Q42" s="326"/>
    </row>
    <row r="43" spans="2:17" x14ac:dyDescent="0.35">
      <c r="B43" s="280"/>
      <c r="C43" s="37">
        <v>2021</v>
      </c>
      <c r="D43" s="330"/>
      <c r="E43" s="331"/>
      <c r="F43" s="331"/>
      <c r="G43" s="331"/>
      <c r="H43" s="331"/>
      <c r="I43" s="331"/>
      <c r="J43" s="331"/>
      <c r="K43" s="331"/>
      <c r="L43" s="331"/>
      <c r="M43" s="331"/>
      <c r="N43" s="331"/>
      <c r="O43" s="332"/>
      <c r="Q43" s="326"/>
    </row>
    <row r="44" spans="2:17" x14ac:dyDescent="0.35">
      <c r="B44" s="280"/>
      <c r="C44" s="37">
        <v>2022</v>
      </c>
      <c r="D44" s="330"/>
      <c r="E44" s="331"/>
      <c r="F44" s="331"/>
      <c r="G44" s="331"/>
      <c r="H44" s="331"/>
      <c r="I44" s="331"/>
      <c r="J44" s="331"/>
      <c r="K44" s="331"/>
      <c r="L44" s="331"/>
      <c r="M44" s="331"/>
      <c r="N44" s="331"/>
      <c r="O44" s="332"/>
      <c r="Q44" s="326"/>
    </row>
    <row r="45" spans="2:17" ht="22" x14ac:dyDescent="0.35">
      <c r="B45" s="280"/>
      <c r="C45" s="37" t="s">
        <v>400</v>
      </c>
      <c r="D45" s="333"/>
      <c r="E45" s="334"/>
      <c r="F45" s="334"/>
      <c r="G45" s="334"/>
      <c r="H45" s="334"/>
      <c r="I45" s="334"/>
      <c r="J45" s="334"/>
      <c r="K45" s="334"/>
      <c r="L45" s="334"/>
      <c r="M45" s="334"/>
      <c r="N45" s="334"/>
      <c r="O45" s="335"/>
      <c r="Q45" s="326"/>
    </row>
    <row r="46" spans="2:17" x14ac:dyDescent="0.35">
      <c r="B46" s="280" t="s">
        <v>407</v>
      </c>
      <c r="C46" s="37" t="s">
        <v>398</v>
      </c>
      <c r="D46" s="327" t="s">
        <v>569</v>
      </c>
      <c r="E46" s="328"/>
      <c r="F46" s="328"/>
      <c r="G46" s="328"/>
      <c r="H46" s="328"/>
      <c r="I46" s="328"/>
      <c r="J46" s="328"/>
      <c r="K46" s="328"/>
      <c r="L46" s="328"/>
      <c r="M46" s="328"/>
      <c r="N46" s="328"/>
      <c r="O46" s="329"/>
      <c r="Q46" s="326" t="s">
        <v>83</v>
      </c>
    </row>
    <row r="47" spans="2:17" x14ac:dyDescent="0.35">
      <c r="B47" s="280"/>
      <c r="C47" s="37" t="s">
        <v>399</v>
      </c>
      <c r="D47" s="330"/>
      <c r="E47" s="331"/>
      <c r="F47" s="331"/>
      <c r="G47" s="331"/>
      <c r="H47" s="331"/>
      <c r="I47" s="331"/>
      <c r="J47" s="331"/>
      <c r="K47" s="331"/>
      <c r="L47" s="331"/>
      <c r="M47" s="331"/>
      <c r="N47" s="331"/>
      <c r="O47" s="332"/>
      <c r="Q47" s="326"/>
    </row>
    <row r="48" spans="2:17" x14ac:dyDescent="0.35">
      <c r="B48" s="280"/>
      <c r="C48" s="37">
        <v>2020</v>
      </c>
      <c r="D48" s="330"/>
      <c r="E48" s="331"/>
      <c r="F48" s="331"/>
      <c r="G48" s="331"/>
      <c r="H48" s="331"/>
      <c r="I48" s="331"/>
      <c r="J48" s="331"/>
      <c r="K48" s="331"/>
      <c r="L48" s="331"/>
      <c r="M48" s="331"/>
      <c r="N48" s="331"/>
      <c r="O48" s="332"/>
      <c r="Q48" s="326"/>
    </row>
    <row r="49" spans="2:17" x14ac:dyDescent="0.35">
      <c r="B49" s="280"/>
      <c r="C49" s="37">
        <v>2021</v>
      </c>
      <c r="D49" s="330"/>
      <c r="E49" s="331"/>
      <c r="F49" s="331"/>
      <c r="G49" s="331"/>
      <c r="H49" s="331"/>
      <c r="I49" s="331"/>
      <c r="J49" s="331"/>
      <c r="K49" s="331"/>
      <c r="L49" s="331"/>
      <c r="M49" s="331"/>
      <c r="N49" s="331"/>
      <c r="O49" s="332"/>
      <c r="Q49" s="326"/>
    </row>
    <row r="50" spans="2:17" x14ac:dyDescent="0.35">
      <c r="B50" s="280"/>
      <c r="C50" s="37">
        <v>2022</v>
      </c>
      <c r="D50" s="330"/>
      <c r="E50" s="331"/>
      <c r="F50" s="331"/>
      <c r="G50" s="331"/>
      <c r="H50" s="331"/>
      <c r="I50" s="331"/>
      <c r="J50" s="331"/>
      <c r="K50" s="331"/>
      <c r="L50" s="331"/>
      <c r="M50" s="331"/>
      <c r="N50" s="331"/>
      <c r="O50" s="332"/>
      <c r="Q50" s="326"/>
    </row>
    <row r="51" spans="2:17" ht="22" x14ac:dyDescent="0.35">
      <c r="B51" s="280"/>
      <c r="C51" s="37" t="s">
        <v>400</v>
      </c>
      <c r="D51" s="333"/>
      <c r="E51" s="334"/>
      <c r="F51" s="334"/>
      <c r="G51" s="334"/>
      <c r="H51" s="334"/>
      <c r="I51" s="334"/>
      <c r="J51" s="334"/>
      <c r="K51" s="334"/>
      <c r="L51" s="334"/>
      <c r="M51" s="334"/>
      <c r="N51" s="334"/>
      <c r="O51" s="335"/>
      <c r="Q51" s="326"/>
    </row>
  </sheetData>
  <mergeCells count="76">
    <mergeCell ref="D46:O51"/>
    <mergeCell ref="D40:O45"/>
    <mergeCell ref="L34:L39"/>
    <mergeCell ref="M34:M39"/>
    <mergeCell ref="N34:N39"/>
    <mergeCell ref="O34:O39"/>
    <mergeCell ref="N22:N27"/>
    <mergeCell ref="O22:O27"/>
    <mergeCell ref="D28:D33"/>
    <mergeCell ref="E28:E33"/>
    <mergeCell ref="F28:F33"/>
    <mergeCell ref="G28:G33"/>
    <mergeCell ref="H28:H33"/>
    <mergeCell ref="I28:I33"/>
    <mergeCell ref="J28:J33"/>
    <mergeCell ref="K28:K33"/>
    <mergeCell ref="L28:L33"/>
    <mergeCell ref="M28:M33"/>
    <mergeCell ref="N28:N33"/>
    <mergeCell ref="O28:O33"/>
    <mergeCell ref="I22:I27"/>
    <mergeCell ref="J22:J27"/>
    <mergeCell ref="K22:K27"/>
    <mergeCell ref="L22:L27"/>
    <mergeCell ref="M22:M27"/>
    <mergeCell ref="D22:D27"/>
    <mergeCell ref="E22:E27"/>
    <mergeCell ref="F22:F27"/>
    <mergeCell ref="G22:G27"/>
    <mergeCell ref="H22:H27"/>
    <mergeCell ref="N10:N15"/>
    <mergeCell ref="O10:O15"/>
    <mergeCell ref="D16:D21"/>
    <mergeCell ref="E16:E21"/>
    <mergeCell ref="F16:F21"/>
    <mergeCell ref="G16:G21"/>
    <mergeCell ref="H16:H21"/>
    <mergeCell ref="I16:I21"/>
    <mergeCell ref="J16:J21"/>
    <mergeCell ref="K16:K21"/>
    <mergeCell ref="L16:L21"/>
    <mergeCell ref="M16:M21"/>
    <mergeCell ref="N16:N21"/>
    <mergeCell ref="O16:O21"/>
    <mergeCell ref="B46:B51"/>
    <mergeCell ref="Q46:Q51"/>
    <mergeCell ref="B28:B33"/>
    <mergeCell ref="Q28:Q33"/>
    <mergeCell ref="B34:B39"/>
    <mergeCell ref="Q34:Q39"/>
    <mergeCell ref="B40:B45"/>
    <mergeCell ref="Q40:Q45"/>
    <mergeCell ref="D34:D39"/>
    <mergeCell ref="E34:E39"/>
    <mergeCell ref="F34:F39"/>
    <mergeCell ref="G34:G39"/>
    <mergeCell ref="H34:H39"/>
    <mergeCell ref="I34:I39"/>
    <mergeCell ref="J34:J39"/>
    <mergeCell ref="K34:K39"/>
    <mergeCell ref="B10:B15"/>
    <mergeCell ref="Q10:Q15"/>
    <mergeCell ref="B16:B21"/>
    <mergeCell ref="Q16:Q21"/>
    <mergeCell ref="B22:B27"/>
    <mergeCell ref="Q22:Q27"/>
    <mergeCell ref="D10:D15"/>
    <mergeCell ref="E10:E15"/>
    <mergeCell ref="F10:F15"/>
    <mergeCell ref="G10:G15"/>
    <mergeCell ref="H10:H15"/>
    <mergeCell ref="I10:I15"/>
    <mergeCell ref="J10:J15"/>
    <mergeCell ref="K10:K15"/>
    <mergeCell ref="L10:L15"/>
    <mergeCell ref="M10:M15"/>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01"/>
  <sheetViews>
    <sheetView topLeftCell="A10" workbookViewId="0">
      <selection activeCell="S34" sqref="S34"/>
    </sheetView>
  </sheetViews>
  <sheetFormatPr defaultRowHeight="14.5" x14ac:dyDescent="0.35"/>
  <cols>
    <col min="1" max="1" width="9.1796875" style="40"/>
    <col min="2" max="2" width="17.54296875" customWidth="1"/>
    <col min="3" max="3" width="12.7265625" customWidth="1"/>
    <col min="9" max="9" width="11.7265625" customWidth="1"/>
    <col min="16" max="26" width="9.1796875" style="40"/>
  </cols>
  <sheetData>
    <row r="1" spans="1:16" s="40" customFormat="1" ht="26" x14ac:dyDescent="0.6">
      <c r="A1" s="42" t="s">
        <v>125</v>
      </c>
    </row>
    <row r="2" spans="1:16" s="40" customFormat="1" x14ac:dyDescent="0.35">
      <c r="A2" s="40" t="s">
        <v>0</v>
      </c>
      <c r="B2" s="43" t="s">
        <v>84</v>
      </c>
      <c r="C2" s="40" t="s">
        <v>409</v>
      </c>
    </row>
    <row r="3" spans="1:16" s="40" customFormat="1" x14ac:dyDescent="0.35">
      <c r="A3" s="44" t="s">
        <v>76</v>
      </c>
      <c r="B3" s="43">
        <v>30</v>
      </c>
      <c r="C3" s="40" t="s">
        <v>85</v>
      </c>
    </row>
    <row r="4" spans="1:16" s="40" customFormat="1" x14ac:dyDescent="0.35"/>
    <row r="5" spans="1:16" s="40" customFormat="1" x14ac:dyDescent="0.35"/>
    <row r="6" spans="1:16" s="40" customFormat="1" x14ac:dyDescent="0.35"/>
    <row r="7" spans="1:16" s="40" customFormat="1" x14ac:dyDescent="0.35"/>
    <row r="8" spans="1:16" s="40" customFormat="1" x14ac:dyDescent="0.35"/>
    <row r="9" spans="1:16" ht="68" x14ac:dyDescent="0.35">
      <c r="A9" s="46"/>
      <c r="B9" s="36" t="s">
        <v>385</v>
      </c>
      <c r="C9" s="36" t="s">
        <v>386</v>
      </c>
      <c r="D9" s="36" t="s">
        <v>387</v>
      </c>
      <c r="E9" s="36" t="s">
        <v>388</v>
      </c>
      <c r="F9" s="36" t="s">
        <v>417</v>
      </c>
      <c r="G9" s="36" t="s">
        <v>390</v>
      </c>
      <c r="H9" s="36" t="s">
        <v>391</v>
      </c>
      <c r="I9" s="36" t="s">
        <v>392</v>
      </c>
      <c r="J9" s="36" t="s">
        <v>393</v>
      </c>
      <c r="K9" s="36" t="s">
        <v>416</v>
      </c>
      <c r="L9" s="36" t="s">
        <v>395</v>
      </c>
      <c r="M9" s="36" t="s">
        <v>396</v>
      </c>
      <c r="N9" s="36" t="s">
        <v>397</v>
      </c>
      <c r="O9" s="36" t="s">
        <v>113</v>
      </c>
      <c r="P9" s="46"/>
    </row>
    <row r="10" spans="1:16" x14ac:dyDescent="0.35">
      <c r="B10" s="280" t="s">
        <v>483</v>
      </c>
      <c r="C10" s="37" t="s">
        <v>398</v>
      </c>
      <c r="D10" s="281" t="s">
        <v>587</v>
      </c>
      <c r="E10" s="313"/>
      <c r="F10" s="313"/>
      <c r="G10" s="313"/>
      <c r="H10" s="313"/>
      <c r="I10" s="313"/>
      <c r="J10" s="313"/>
      <c r="K10" s="313"/>
      <c r="L10" s="313"/>
      <c r="M10" s="313"/>
      <c r="N10" s="313"/>
      <c r="O10" s="314"/>
      <c r="P10" s="47"/>
    </row>
    <row r="11" spans="1:16" x14ac:dyDescent="0.35">
      <c r="B11" s="280"/>
      <c r="C11" s="37" t="s">
        <v>399</v>
      </c>
      <c r="D11" s="315"/>
      <c r="E11" s="316"/>
      <c r="F11" s="316"/>
      <c r="G11" s="316"/>
      <c r="H11" s="316"/>
      <c r="I11" s="316"/>
      <c r="J11" s="316"/>
      <c r="K11" s="316"/>
      <c r="L11" s="316"/>
      <c r="M11" s="316"/>
      <c r="N11" s="316"/>
      <c r="O11" s="317"/>
      <c r="P11" s="47"/>
    </row>
    <row r="12" spans="1:16" x14ac:dyDescent="0.35">
      <c r="B12" s="280"/>
      <c r="C12" s="37">
        <v>2020</v>
      </c>
      <c r="D12" s="315"/>
      <c r="E12" s="316"/>
      <c r="F12" s="316"/>
      <c r="G12" s="316"/>
      <c r="H12" s="316"/>
      <c r="I12" s="316"/>
      <c r="J12" s="316"/>
      <c r="K12" s="316"/>
      <c r="L12" s="316"/>
      <c r="M12" s="316"/>
      <c r="N12" s="316"/>
      <c r="O12" s="317"/>
      <c r="P12" s="47"/>
    </row>
    <row r="13" spans="1:16" x14ac:dyDescent="0.35">
      <c r="B13" s="280"/>
      <c r="C13" s="37">
        <v>2021</v>
      </c>
      <c r="D13" s="315"/>
      <c r="E13" s="316"/>
      <c r="F13" s="316"/>
      <c r="G13" s="316"/>
      <c r="H13" s="316"/>
      <c r="I13" s="316"/>
      <c r="J13" s="316"/>
      <c r="K13" s="316"/>
      <c r="L13" s="316"/>
      <c r="M13" s="316"/>
      <c r="N13" s="316"/>
      <c r="O13" s="317"/>
      <c r="P13" s="47"/>
    </row>
    <row r="14" spans="1:16" x14ac:dyDescent="0.35">
      <c r="B14" s="280"/>
      <c r="C14" s="37">
        <v>2022</v>
      </c>
      <c r="D14" s="315"/>
      <c r="E14" s="316"/>
      <c r="F14" s="316"/>
      <c r="G14" s="316"/>
      <c r="H14" s="316"/>
      <c r="I14" s="316"/>
      <c r="J14" s="316"/>
      <c r="K14" s="316"/>
      <c r="L14" s="316"/>
      <c r="M14" s="316"/>
      <c r="N14" s="316"/>
      <c r="O14" s="317"/>
      <c r="P14" s="47"/>
    </row>
    <row r="15" spans="1:16" ht="22" x14ac:dyDescent="0.35">
      <c r="B15" s="280"/>
      <c r="C15" s="37" t="s">
        <v>400</v>
      </c>
      <c r="D15" s="318"/>
      <c r="E15" s="319"/>
      <c r="F15" s="319"/>
      <c r="G15" s="319"/>
      <c r="H15" s="319"/>
      <c r="I15" s="319"/>
      <c r="J15" s="319"/>
      <c r="K15" s="319"/>
      <c r="L15" s="319"/>
      <c r="M15" s="319"/>
      <c r="N15" s="319"/>
      <c r="O15" s="320"/>
      <c r="P15" s="47"/>
    </row>
    <row r="16" spans="1:16" ht="15" customHeight="1" x14ac:dyDescent="0.35">
      <c r="B16" s="280" t="s">
        <v>484</v>
      </c>
      <c r="C16" s="37" t="s">
        <v>398</v>
      </c>
      <c r="D16" s="290" t="s">
        <v>560</v>
      </c>
      <c r="E16" s="290" t="s">
        <v>561</v>
      </c>
      <c r="F16" s="290" t="s">
        <v>521</v>
      </c>
      <c r="G16" s="290" t="s">
        <v>51</v>
      </c>
      <c r="H16" s="290" t="s">
        <v>51</v>
      </c>
      <c r="I16" s="290" t="s">
        <v>879</v>
      </c>
      <c r="J16" s="290" t="s">
        <v>514</v>
      </c>
      <c r="K16" s="290" t="s">
        <v>51</v>
      </c>
      <c r="L16" s="290" t="s">
        <v>51</v>
      </c>
      <c r="M16" s="290" t="s">
        <v>51</v>
      </c>
      <c r="N16" s="290" t="s">
        <v>51</v>
      </c>
      <c r="O16" s="290" t="s">
        <v>51</v>
      </c>
      <c r="P16" s="47"/>
    </row>
    <row r="17" spans="2:16" x14ac:dyDescent="0.35">
      <c r="B17" s="280"/>
      <c r="C17" s="37" t="s">
        <v>399</v>
      </c>
      <c r="D17" s="308"/>
      <c r="E17" s="308"/>
      <c r="F17" s="308"/>
      <c r="G17" s="308"/>
      <c r="H17" s="308"/>
      <c r="I17" s="308"/>
      <c r="J17" s="308"/>
      <c r="K17" s="308"/>
      <c r="L17" s="308"/>
      <c r="M17" s="308"/>
      <c r="N17" s="308"/>
      <c r="O17" s="308"/>
      <c r="P17" s="47"/>
    </row>
    <row r="18" spans="2:16" x14ac:dyDescent="0.35">
      <c r="B18" s="280"/>
      <c r="C18" s="37">
        <v>2020</v>
      </c>
      <c r="D18" s="308"/>
      <c r="E18" s="308"/>
      <c r="F18" s="308"/>
      <c r="G18" s="308"/>
      <c r="H18" s="308"/>
      <c r="I18" s="308"/>
      <c r="J18" s="308"/>
      <c r="K18" s="308"/>
      <c r="L18" s="308"/>
      <c r="M18" s="308"/>
      <c r="N18" s="308"/>
      <c r="O18" s="308"/>
      <c r="P18" s="47"/>
    </row>
    <row r="19" spans="2:16" x14ac:dyDescent="0.35">
      <c r="B19" s="280"/>
      <c r="C19" s="37">
        <v>2021</v>
      </c>
      <c r="D19" s="308"/>
      <c r="E19" s="308"/>
      <c r="F19" s="308"/>
      <c r="G19" s="308"/>
      <c r="H19" s="308"/>
      <c r="I19" s="308"/>
      <c r="J19" s="308"/>
      <c r="K19" s="308"/>
      <c r="L19" s="308"/>
      <c r="M19" s="308"/>
      <c r="N19" s="308"/>
      <c r="O19" s="308"/>
      <c r="P19" s="47"/>
    </row>
    <row r="20" spans="2:16" x14ac:dyDescent="0.35">
      <c r="B20" s="280"/>
      <c r="C20" s="37">
        <v>2022</v>
      </c>
      <c r="D20" s="308"/>
      <c r="E20" s="308"/>
      <c r="F20" s="308"/>
      <c r="G20" s="308"/>
      <c r="H20" s="308"/>
      <c r="I20" s="308"/>
      <c r="J20" s="308"/>
      <c r="K20" s="308"/>
      <c r="L20" s="308"/>
      <c r="M20" s="308"/>
      <c r="N20" s="308"/>
      <c r="O20" s="308"/>
      <c r="P20" s="47"/>
    </row>
    <row r="21" spans="2:16" ht="22" x14ac:dyDescent="0.35">
      <c r="B21" s="280"/>
      <c r="C21" s="37" t="s">
        <v>400</v>
      </c>
      <c r="D21" s="309"/>
      <c r="E21" s="309"/>
      <c r="F21" s="309"/>
      <c r="G21" s="309"/>
      <c r="H21" s="309"/>
      <c r="I21" s="309"/>
      <c r="J21" s="309"/>
      <c r="K21" s="309"/>
      <c r="L21" s="309"/>
      <c r="M21" s="309"/>
      <c r="N21" s="309"/>
      <c r="O21" s="309"/>
      <c r="P21" s="47"/>
    </row>
    <row r="22" spans="2:16" x14ac:dyDescent="0.35">
      <c r="B22" s="280" t="s">
        <v>485</v>
      </c>
      <c r="C22" s="37" t="s">
        <v>398</v>
      </c>
      <c r="D22" s="281" t="s">
        <v>588</v>
      </c>
      <c r="E22" s="313"/>
      <c r="F22" s="313"/>
      <c r="G22" s="313"/>
      <c r="H22" s="313"/>
      <c r="I22" s="313"/>
      <c r="J22" s="313"/>
      <c r="K22" s="313"/>
      <c r="L22" s="313"/>
      <c r="M22" s="313"/>
      <c r="N22" s="313"/>
      <c r="O22" s="314"/>
      <c r="P22" s="47"/>
    </row>
    <row r="23" spans="2:16" x14ac:dyDescent="0.35">
      <c r="B23" s="280"/>
      <c r="C23" s="37" t="s">
        <v>399</v>
      </c>
      <c r="D23" s="315"/>
      <c r="E23" s="316"/>
      <c r="F23" s="316"/>
      <c r="G23" s="316"/>
      <c r="H23" s="316"/>
      <c r="I23" s="316"/>
      <c r="J23" s="316"/>
      <c r="K23" s="316"/>
      <c r="L23" s="316"/>
      <c r="M23" s="316"/>
      <c r="N23" s="316"/>
      <c r="O23" s="317"/>
      <c r="P23" s="47"/>
    </row>
    <row r="24" spans="2:16" x14ac:dyDescent="0.35">
      <c r="B24" s="280"/>
      <c r="C24" s="37">
        <v>2020</v>
      </c>
      <c r="D24" s="315"/>
      <c r="E24" s="316"/>
      <c r="F24" s="316"/>
      <c r="G24" s="316"/>
      <c r="H24" s="316"/>
      <c r="I24" s="316"/>
      <c r="J24" s="316"/>
      <c r="K24" s="316"/>
      <c r="L24" s="316"/>
      <c r="M24" s="316"/>
      <c r="N24" s="316"/>
      <c r="O24" s="317"/>
      <c r="P24" s="47"/>
    </row>
    <row r="25" spans="2:16" x14ac:dyDescent="0.35">
      <c r="B25" s="280"/>
      <c r="C25" s="37">
        <v>2021</v>
      </c>
      <c r="D25" s="315"/>
      <c r="E25" s="316"/>
      <c r="F25" s="316"/>
      <c r="G25" s="316"/>
      <c r="H25" s="316"/>
      <c r="I25" s="316"/>
      <c r="J25" s="316"/>
      <c r="K25" s="316"/>
      <c r="L25" s="316"/>
      <c r="M25" s="316"/>
      <c r="N25" s="316"/>
      <c r="O25" s="317"/>
      <c r="P25" s="47"/>
    </row>
    <row r="26" spans="2:16" x14ac:dyDescent="0.35">
      <c r="B26" s="280"/>
      <c r="C26" s="37">
        <v>2022</v>
      </c>
      <c r="D26" s="315"/>
      <c r="E26" s="316"/>
      <c r="F26" s="316"/>
      <c r="G26" s="316"/>
      <c r="H26" s="316"/>
      <c r="I26" s="316"/>
      <c r="J26" s="316"/>
      <c r="K26" s="316"/>
      <c r="L26" s="316"/>
      <c r="M26" s="316"/>
      <c r="N26" s="316"/>
      <c r="O26" s="317"/>
      <c r="P26" s="47"/>
    </row>
    <row r="27" spans="2:16" ht="22" x14ac:dyDescent="0.35">
      <c r="B27" s="280"/>
      <c r="C27" s="37" t="s">
        <v>400</v>
      </c>
      <c r="D27" s="318"/>
      <c r="E27" s="319"/>
      <c r="F27" s="319"/>
      <c r="G27" s="319"/>
      <c r="H27" s="319"/>
      <c r="I27" s="319"/>
      <c r="J27" s="319"/>
      <c r="K27" s="319"/>
      <c r="L27" s="319"/>
      <c r="M27" s="319"/>
      <c r="N27" s="319"/>
      <c r="O27" s="320"/>
      <c r="P27" s="47"/>
    </row>
    <row r="28" spans="2:16" x14ac:dyDescent="0.35">
      <c r="B28" s="280" t="s">
        <v>486</v>
      </c>
      <c r="C28" s="37" t="s">
        <v>398</v>
      </c>
      <c r="D28" s="281" t="s">
        <v>589</v>
      </c>
      <c r="E28" s="313"/>
      <c r="F28" s="313"/>
      <c r="G28" s="313"/>
      <c r="H28" s="313"/>
      <c r="I28" s="313"/>
      <c r="J28" s="313"/>
      <c r="K28" s="313"/>
      <c r="L28" s="313"/>
      <c r="M28" s="313"/>
      <c r="N28" s="313"/>
      <c r="O28" s="314"/>
    </row>
    <row r="29" spans="2:16" x14ac:dyDescent="0.35">
      <c r="B29" s="280"/>
      <c r="C29" s="37" t="s">
        <v>399</v>
      </c>
      <c r="D29" s="315"/>
      <c r="E29" s="316"/>
      <c r="F29" s="316"/>
      <c r="G29" s="316"/>
      <c r="H29" s="316"/>
      <c r="I29" s="316"/>
      <c r="J29" s="316"/>
      <c r="K29" s="316"/>
      <c r="L29" s="316"/>
      <c r="M29" s="316"/>
      <c r="N29" s="316"/>
      <c r="O29" s="317"/>
    </row>
    <row r="30" spans="2:16" x14ac:dyDescent="0.35">
      <c r="B30" s="280"/>
      <c r="C30" s="37">
        <v>2020</v>
      </c>
      <c r="D30" s="315"/>
      <c r="E30" s="316"/>
      <c r="F30" s="316"/>
      <c r="G30" s="316"/>
      <c r="H30" s="316"/>
      <c r="I30" s="316"/>
      <c r="J30" s="316"/>
      <c r="K30" s="316"/>
      <c r="L30" s="316"/>
      <c r="M30" s="316"/>
      <c r="N30" s="316"/>
      <c r="O30" s="317"/>
    </row>
    <row r="31" spans="2:16" x14ac:dyDescent="0.35">
      <c r="B31" s="280"/>
      <c r="C31" s="37">
        <v>2021</v>
      </c>
      <c r="D31" s="315"/>
      <c r="E31" s="316"/>
      <c r="F31" s="316"/>
      <c r="G31" s="316"/>
      <c r="H31" s="316"/>
      <c r="I31" s="316"/>
      <c r="J31" s="316"/>
      <c r="K31" s="316"/>
      <c r="L31" s="316"/>
      <c r="M31" s="316"/>
      <c r="N31" s="316"/>
      <c r="O31" s="317"/>
    </row>
    <row r="32" spans="2:16" x14ac:dyDescent="0.35">
      <c r="B32" s="280"/>
      <c r="C32" s="37">
        <v>2022</v>
      </c>
      <c r="D32" s="315"/>
      <c r="E32" s="316"/>
      <c r="F32" s="316"/>
      <c r="G32" s="316"/>
      <c r="H32" s="316"/>
      <c r="I32" s="316"/>
      <c r="J32" s="316"/>
      <c r="K32" s="316"/>
      <c r="L32" s="316"/>
      <c r="M32" s="316"/>
      <c r="N32" s="316"/>
      <c r="O32" s="317"/>
    </row>
    <row r="33" spans="2:15" ht="22" x14ac:dyDescent="0.35">
      <c r="B33" s="280"/>
      <c r="C33" s="37" t="s">
        <v>400</v>
      </c>
      <c r="D33" s="318"/>
      <c r="E33" s="319"/>
      <c r="F33" s="319"/>
      <c r="G33" s="319"/>
      <c r="H33" s="319"/>
      <c r="I33" s="319"/>
      <c r="J33" s="319"/>
      <c r="K33" s="319"/>
      <c r="L33" s="319"/>
      <c r="M33" s="319"/>
      <c r="N33" s="319"/>
      <c r="O33" s="320"/>
    </row>
    <row r="34" spans="2:15" x14ac:dyDescent="0.35">
      <c r="B34" s="280" t="s">
        <v>471</v>
      </c>
      <c r="C34" s="37" t="s">
        <v>398</v>
      </c>
      <c r="D34" s="281" t="s">
        <v>590</v>
      </c>
      <c r="E34" s="313"/>
      <c r="F34" s="313"/>
      <c r="G34" s="313"/>
      <c r="H34" s="313"/>
      <c r="I34" s="313"/>
      <c r="J34" s="313"/>
      <c r="K34" s="313"/>
      <c r="L34" s="313"/>
      <c r="M34" s="313"/>
      <c r="N34" s="313"/>
      <c r="O34" s="314"/>
    </row>
    <row r="35" spans="2:15" x14ac:dyDescent="0.35">
      <c r="B35" s="280"/>
      <c r="C35" s="37" t="s">
        <v>399</v>
      </c>
      <c r="D35" s="315"/>
      <c r="E35" s="316"/>
      <c r="F35" s="316"/>
      <c r="G35" s="316"/>
      <c r="H35" s="316"/>
      <c r="I35" s="316"/>
      <c r="J35" s="316"/>
      <c r="K35" s="316"/>
      <c r="L35" s="316"/>
      <c r="M35" s="316"/>
      <c r="N35" s="316"/>
      <c r="O35" s="317"/>
    </row>
    <row r="36" spans="2:15" x14ac:dyDescent="0.35">
      <c r="B36" s="280"/>
      <c r="C36" s="37">
        <v>2020</v>
      </c>
      <c r="D36" s="315"/>
      <c r="E36" s="316"/>
      <c r="F36" s="316"/>
      <c r="G36" s="316"/>
      <c r="H36" s="316"/>
      <c r="I36" s="316"/>
      <c r="J36" s="316"/>
      <c r="K36" s="316"/>
      <c r="L36" s="316"/>
      <c r="M36" s="316"/>
      <c r="N36" s="316"/>
      <c r="O36" s="317"/>
    </row>
    <row r="37" spans="2:15" x14ac:dyDescent="0.35">
      <c r="B37" s="280"/>
      <c r="C37" s="37">
        <v>2021</v>
      </c>
      <c r="D37" s="315"/>
      <c r="E37" s="316"/>
      <c r="F37" s="316"/>
      <c r="G37" s="316"/>
      <c r="H37" s="316"/>
      <c r="I37" s="316"/>
      <c r="J37" s="316"/>
      <c r="K37" s="316"/>
      <c r="L37" s="316"/>
      <c r="M37" s="316"/>
      <c r="N37" s="316"/>
      <c r="O37" s="317"/>
    </row>
    <row r="38" spans="2:15" x14ac:dyDescent="0.35">
      <c r="B38" s="280"/>
      <c r="C38" s="37">
        <v>2022</v>
      </c>
      <c r="D38" s="315"/>
      <c r="E38" s="316"/>
      <c r="F38" s="316"/>
      <c r="G38" s="316"/>
      <c r="H38" s="316"/>
      <c r="I38" s="316"/>
      <c r="J38" s="316"/>
      <c r="K38" s="316"/>
      <c r="L38" s="316"/>
      <c r="M38" s="316"/>
      <c r="N38" s="316"/>
      <c r="O38" s="317"/>
    </row>
    <row r="39" spans="2:15" ht="22" x14ac:dyDescent="0.35">
      <c r="B39" s="280"/>
      <c r="C39" s="37" t="s">
        <v>400</v>
      </c>
      <c r="D39" s="318"/>
      <c r="E39" s="319"/>
      <c r="F39" s="319"/>
      <c r="G39" s="319"/>
      <c r="H39" s="319"/>
      <c r="I39" s="319"/>
      <c r="J39" s="319"/>
      <c r="K39" s="319"/>
      <c r="L39" s="319"/>
      <c r="M39" s="319"/>
      <c r="N39" s="319"/>
      <c r="O39" s="320"/>
    </row>
    <row r="40" spans="2:15" s="40" customFormat="1" x14ac:dyDescent="0.35"/>
    <row r="41" spans="2:15" s="40" customFormat="1" x14ac:dyDescent="0.35"/>
    <row r="42" spans="2:15" s="40" customFormat="1" x14ac:dyDescent="0.35"/>
    <row r="43" spans="2:15" s="40" customFormat="1" x14ac:dyDescent="0.35"/>
    <row r="44" spans="2:15" s="40" customFormat="1" x14ac:dyDescent="0.35"/>
    <row r="45" spans="2:15" s="40" customFormat="1" x14ac:dyDescent="0.35"/>
    <row r="46" spans="2:15" s="40" customFormat="1" x14ac:dyDescent="0.35"/>
    <row r="47" spans="2:15" s="40" customFormat="1" x14ac:dyDescent="0.35"/>
    <row r="48" spans="2:15" s="40" customFormat="1" x14ac:dyDescent="0.35"/>
    <row r="49" s="40" customFormat="1" x14ac:dyDescent="0.35"/>
    <row r="50" s="40" customFormat="1" x14ac:dyDescent="0.35"/>
    <row r="51" s="40" customFormat="1" x14ac:dyDescent="0.35"/>
    <row r="52" s="40" customFormat="1" x14ac:dyDescent="0.35"/>
    <row r="53" s="40" customFormat="1" x14ac:dyDescent="0.35"/>
    <row r="54" s="40" customFormat="1" x14ac:dyDescent="0.35"/>
    <row r="55" s="40" customFormat="1" x14ac:dyDescent="0.35"/>
    <row r="56" s="40" customFormat="1" x14ac:dyDescent="0.35"/>
    <row r="57" s="40" customFormat="1" x14ac:dyDescent="0.35"/>
    <row r="58" s="40" customFormat="1" x14ac:dyDescent="0.35"/>
    <row r="59" s="40" customFormat="1" x14ac:dyDescent="0.35"/>
    <row r="60" s="40" customFormat="1" x14ac:dyDescent="0.35"/>
    <row r="61" s="40" customFormat="1" x14ac:dyDescent="0.35"/>
    <row r="62" s="40" customFormat="1" x14ac:dyDescent="0.35"/>
    <row r="63" s="40" customFormat="1" x14ac:dyDescent="0.35"/>
    <row r="64" s="40" customFormat="1" x14ac:dyDescent="0.35"/>
    <row r="65" s="40" customFormat="1" x14ac:dyDescent="0.35"/>
    <row r="66" s="40" customFormat="1" x14ac:dyDescent="0.35"/>
    <row r="67" s="40" customFormat="1" x14ac:dyDescent="0.35"/>
    <row r="68" s="40" customFormat="1" x14ac:dyDescent="0.35"/>
    <row r="69" s="40" customFormat="1" x14ac:dyDescent="0.35"/>
    <row r="70" s="40" customFormat="1" x14ac:dyDescent="0.35"/>
    <row r="71" s="40" customFormat="1" x14ac:dyDescent="0.35"/>
    <row r="72" s="40" customFormat="1" x14ac:dyDescent="0.35"/>
    <row r="73" s="40" customFormat="1" x14ac:dyDescent="0.35"/>
    <row r="74" s="40" customFormat="1" x14ac:dyDescent="0.35"/>
    <row r="75" s="40" customFormat="1" x14ac:dyDescent="0.35"/>
    <row r="76" s="40" customFormat="1" x14ac:dyDescent="0.35"/>
    <row r="77" s="40" customFormat="1" x14ac:dyDescent="0.35"/>
    <row r="78" s="40" customFormat="1" x14ac:dyDescent="0.35"/>
    <row r="79" s="40" customFormat="1" x14ac:dyDescent="0.35"/>
    <row r="80" s="40" customFormat="1" x14ac:dyDescent="0.35"/>
    <row r="81" s="40" customFormat="1" x14ac:dyDescent="0.35"/>
    <row r="82" s="40" customFormat="1" x14ac:dyDescent="0.35"/>
    <row r="83" s="40" customFormat="1" x14ac:dyDescent="0.35"/>
    <row r="84" s="40" customFormat="1" x14ac:dyDescent="0.35"/>
    <row r="85" s="40" customFormat="1" x14ac:dyDescent="0.35"/>
    <row r="86" s="40" customFormat="1" x14ac:dyDescent="0.35"/>
    <row r="87" s="40" customFormat="1" x14ac:dyDescent="0.35"/>
    <row r="88" s="40" customFormat="1" x14ac:dyDescent="0.35"/>
    <row r="89" s="40" customFormat="1" x14ac:dyDescent="0.35"/>
    <row r="90" s="40" customFormat="1" x14ac:dyDescent="0.35"/>
    <row r="91" s="40" customFormat="1" x14ac:dyDescent="0.35"/>
    <row r="92" s="40" customFormat="1" x14ac:dyDescent="0.35"/>
    <row r="93" s="40" customFormat="1" x14ac:dyDescent="0.35"/>
    <row r="94" s="40" customFormat="1" x14ac:dyDescent="0.35"/>
    <row r="95" s="40" customFormat="1" x14ac:dyDescent="0.35"/>
    <row r="96" s="40" customFormat="1" x14ac:dyDescent="0.35"/>
    <row r="97" s="40" customFormat="1" x14ac:dyDescent="0.35"/>
    <row r="98" s="40" customFormat="1" x14ac:dyDescent="0.35"/>
    <row r="99" s="40" customFormat="1" x14ac:dyDescent="0.35"/>
    <row r="100" s="40" customFormat="1" x14ac:dyDescent="0.35"/>
    <row r="101" s="40" customFormat="1" x14ac:dyDescent="0.35"/>
  </sheetData>
  <mergeCells count="21">
    <mergeCell ref="D10:O15"/>
    <mergeCell ref="D34:O39"/>
    <mergeCell ref="D22:O27"/>
    <mergeCell ref="D28:O33"/>
    <mergeCell ref="D16:D21"/>
    <mergeCell ref="E16:E21"/>
    <mergeCell ref="F16:F21"/>
    <mergeCell ref="I16:I21"/>
    <mergeCell ref="G16:G21"/>
    <mergeCell ref="H16:H21"/>
    <mergeCell ref="J16:J21"/>
    <mergeCell ref="K16:K21"/>
    <mergeCell ref="L16:L21"/>
    <mergeCell ref="M16:M21"/>
    <mergeCell ref="N16:N21"/>
    <mergeCell ref="O16:O21"/>
    <mergeCell ref="B34:B39"/>
    <mergeCell ref="B28:B33"/>
    <mergeCell ref="B10:B15"/>
    <mergeCell ref="B16:B21"/>
    <mergeCell ref="B22:B2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57"/>
  <sheetViews>
    <sheetView workbookViewId="0">
      <selection activeCell="Q7" sqref="Q7"/>
    </sheetView>
  </sheetViews>
  <sheetFormatPr defaultRowHeight="14.5" x14ac:dyDescent="0.35"/>
  <cols>
    <col min="1" max="1" width="9.1796875" style="40"/>
    <col min="2" max="2" width="13.54296875" customWidth="1"/>
    <col min="3" max="3" width="23.453125" customWidth="1"/>
    <col min="4" max="4" width="10.7265625" customWidth="1"/>
    <col min="5" max="13" width="7.1796875" customWidth="1"/>
    <col min="14" max="27" width="9.1796875" style="40"/>
  </cols>
  <sheetData>
    <row r="1" spans="1:27" s="40" customFormat="1" ht="26" x14ac:dyDescent="0.6">
      <c r="A1" s="42" t="s">
        <v>125</v>
      </c>
    </row>
    <row r="2" spans="1:27" s="40" customFormat="1" x14ac:dyDescent="0.35">
      <c r="A2" s="40" t="s">
        <v>0</v>
      </c>
      <c r="B2" s="43" t="s">
        <v>86</v>
      </c>
      <c r="C2" s="40" t="s">
        <v>492</v>
      </c>
    </row>
    <row r="3" spans="1:27" s="40" customFormat="1" x14ac:dyDescent="0.35">
      <c r="A3" s="44" t="s">
        <v>76</v>
      </c>
      <c r="B3" s="43">
        <v>30</v>
      </c>
      <c r="C3" s="40" t="s">
        <v>493</v>
      </c>
    </row>
    <row r="4" spans="1:27" s="40" customFormat="1" x14ac:dyDescent="0.35"/>
    <row r="5" spans="1:27" s="40" customFormat="1" x14ac:dyDescent="0.35"/>
    <row r="6" spans="1:27" s="40" customFormat="1" x14ac:dyDescent="0.35"/>
    <row r="7" spans="1:27" s="7" customFormat="1" ht="39.75" customHeight="1" x14ac:dyDescent="0.35">
      <c r="A7" s="47"/>
      <c r="B7" s="340" t="s">
        <v>488</v>
      </c>
      <c r="C7" s="340" t="s">
        <v>757</v>
      </c>
      <c r="D7" s="340" t="s">
        <v>489</v>
      </c>
      <c r="E7" s="340" t="s">
        <v>256</v>
      </c>
      <c r="F7" s="340"/>
      <c r="G7" s="340"/>
      <c r="H7" s="340" t="s">
        <v>491</v>
      </c>
      <c r="I7" s="340"/>
      <c r="J7" s="340"/>
      <c r="K7" s="340" t="s">
        <v>490</v>
      </c>
      <c r="L7" s="340"/>
      <c r="M7" s="340"/>
      <c r="N7" s="47"/>
      <c r="O7" s="47"/>
      <c r="P7" s="47"/>
      <c r="Q7" s="47"/>
      <c r="R7" s="47"/>
      <c r="S7" s="47"/>
      <c r="T7" s="47"/>
      <c r="U7" s="47"/>
      <c r="V7" s="47"/>
      <c r="W7" s="47"/>
      <c r="X7" s="47"/>
      <c r="Y7" s="47"/>
      <c r="Z7" s="47"/>
      <c r="AA7" s="47"/>
    </row>
    <row r="8" spans="1:27" s="7" customFormat="1" x14ac:dyDescent="0.35">
      <c r="A8" s="47"/>
      <c r="B8" s="340"/>
      <c r="C8" s="340"/>
      <c r="D8" s="340"/>
      <c r="E8" s="38">
        <v>2020</v>
      </c>
      <c r="F8" s="38">
        <v>2021</v>
      </c>
      <c r="G8" s="38">
        <v>2022</v>
      </c>
      <c r="H8" s="38">
        <v>2020</v>
      </c>
      <c r="I8" s="38">
        <v>2021</v>
      </c>
      <c r="J8" s="38">
        <v>2022</v>
      </c>
      <c r="K8" s="38">
        <v>2020</v>
      </c>
      <c r="L8" s="38">
        <v>2021</v>
      </c>
      <c r="M8" s="38">
        <v>2022</v>
      </c>
      <c r="N8" s="47"/>
      <c r="O8" s="47"/>
      <c r="P8" s="47"/>
      <c r="Q8" s="47"/>
      <c r="R8" s="47"/>
      <c r="S8" s="47"/>
      <c r="T8" s="47"/>
      <c r="U8" s="47"/>
      <c r="V8" s="47"/>
      <c r="W8" s="47"/>
      <c r="X8" s="47"/>
      <c r="Y8" s="47"/>
      <c r="Z8" s="47"/>
      <c r="AA8" s="47"/>
    </row>
    <row r="9" spans="1:27" x14ac:dyDescent="0.35">
      <c r="B9" s="338" t="s">
        <v>102</v>
      </c>
      <c r="C9" s="117" t="s">
        <v>103</v>
      </c>
      <c r="D9" s="116" t="s">
        <v>659</v>
      </c>
      <c r="E9" s="338" t="s">
        <v>758</v>
      </c>
      <c r="F9" s="338"/>
      <c r="G9" s="338"/>
      <c r="H9" s="338"/>
      <c r="I9" s="338"/>
      <c r="J9" s="338"/>
      <c r="K9" s="338"/>
      <c r="L9" s="338"/>
      <c r="M9" s="338"/>
      <c r="N9" s="47"/>
    </row>
    <row r="10" spans="1:27" x14ac:dyDescent="0.35">
      <c r="B10" s="338"/>
      <c r="C10" s="117" t="s">
        <v>104</v>
      </c>
      <c r="D10" s="116" t="s">
        <v>659</v>
      </c>
      <c r="E10" s="338"/>
      <c r="F10" s="338"/>
      <c r="G10" s="338"/>
      <c r="H10" s="338"/>
      <c r="I10" s="338"/>
      <c r="J10" s="338"/>
      <c r="K10" s="338"/>
      <c r="L10" s="338"/>
      <c r="M10" s="338"/>
      <c r="N10" s="47"/>
    </row>
    <row r="11" spans="1:27" x14ac:dyDescent="0.35">
      <c r="B11" s="338"/>
      <c r="C11" s="118" t="s">
        <v>64</v>
      </c>
      <c r="D11" s="116" t="s">
        <v>659</v>
      </c>
      <c r="E11" s="338"/>
      <c r="F11" s="338"/>
      <c r="G11" s="338"/>
      <c r="H11" s="338"/>
      <c r="I11" s="338"/>
      <c r="J11" s="338"/>
      <c r="K11" s="338"/>
      <c r="L11" s="338"/>
      <c r="M11" s="338"/>
      <c r="N11" s="47"/>
    </row>
    <row r="12" spans="1:27" x14ac:dyDescent="0.35">
      <c r="B12" s="338"/>
      <c r="C12" s="118" t="s">
        <v>662</v>
      </c>
      <c r="D12" s="116" t="s">
        <v>659</v>
      </c>
      <c r="E12" s="338"/>
      <c r="F12" s="338"/>
      <c r="G12" s="338"/>
      <c r="H12" s="338"/>
      <c r="I12" s="338"/>
      <c r="J12" s="338"/>
      <c r="K12" s="338"/>
      <c r="L12" s="338"/>
      <c r="M12" s="338"/>
      <c r="N12" s="47"/>
    </row>
    <row r="13" spans="1:27" x14ac:dyDescent="0.35">
      <c r="B13" s="338"/>
      <c r="C13" s="117" t="s">
        <v>260</v>
      </c>
      <c r="D13" s="116" t="s">
        <v>659</v>
      </c>
      <c r="E13" s="338"/>
      <c r="F13" s="338"/>
      <c r="G13" s="338"/>
      <c r="H13" s="338"/>
      <c r="I13" s="338"/>
      <c r="J13" s="338"/>
      <c r="K13" s="338"/>
      <c r="L13" s="338"/>
      <c r="M13" s="338"/>
      <c r="N13" s="47"/>
    </row>
    <row r="14" spans="1:27" x14ac:dyDescent="0.35">
      <c r="B14" s="338"/>
      <c r="C14" s="117" t="s">
        <v>105</v>
      </c>
      <c r="D14" s="116" t="s">
        <v>659</v>
      </c>
      <c r="E14" s="338"/>
      <c r="F14" s="338"/>
      <c r="G14" s="338"/>
      <c r="H14" s="338"/>
      <c r="I14" s="338"/>
      <c r="J14" s="338"/>
      <c r="K14" s="338"/>
      <c r="L14" s="338"/>
      <c r="M14" s="338"/>
      <c r="N14" s="47"/>
    </row>
    <row r="15" spans="1:27" x14ac:dyDescent="0.35">
      <c r="B15" s="336" t="s">
        <v>663</v>
      </c>
      <c r="C15" s="337"/>
      <c r="D15" s="116" t="s">
        <v>659</v>
      </c>
      <c r="E15" s="339" t="s">
        <v>759</v>
      </c>
      <c r="F15" s="339"/>
      <c r="G15" s="339"/>
      <c r="H15" s="339"/>
      <c r="I15" s="339"/>
      <c r="J15" s="339"/>
      <c r="K15" s="339"/>
      <c r="L15" s="339"/>
      <c r="M15" s="339"/>
      <c r="N15" s="47"/>
    </row>
    <row r="16" spans="1:27" x14ac:dyDescent="0.35">
      <c r="B16" s="338" t="s">
        <v>106</v>
      </c>
      <c r="C16" s="119" t="s">
        <v>107</v>
      </c>
      <c r="D16" s="116" t="s">
        <v>659</v>
      </c>
      <c r="E16" s="338" t="s">
        <v>758</v>
      </c>
      <c r="F16" s="338"/>
      <c r="G16" s="338"/>
      <c r="H16" s="338"/>
      <c r="I16" s="338"/>
      <c r="J16" s="338"/>
      <c r="K16" s="338"/>
      <c r="L16" s="338"/>
      <c r="M16" s="338"/>
      <c r="N16" s="47"/>
    </row>
    <row r="17" spans="2:14" x14ac:dyDescent="0.35">
      <c r="B17" s="338"/>
      <c r="C17" s="117" t="s">
        <v>664</v>
      </c>
      <c r="D17" s="116" t="s">
        <v>659</v>
      </c>
      <c r="E17" s="338"/>
      <c r="F17" s="338"/>
      <c r="G17" s="338"/>
      <c r="H17" s="338"/>
      <c r="I17" s="338"/>
      <c r="J17" s="338"/>
      <c r="K17" s="338"/>
      <c r="L17" s="338"/>
      <c r="M17" s="338"/>
      <c r="N17" s="47"/>
    </row>
    <row r="18" spans="2:14" x14ac:dyDescent="0.35">
      <c r="B18" s="338"/>
      <c r="C18" s="117" t="s">
        <v>665</v>
      </c>
      <c r="D18" s="116" t="s">
        <v>659</v>
      </c>
      <c r="E18" s="338"/>
      <c r="F18" s="338"/>
      <c r="G18" s="338"/>
      <c r="H18" s="338"/>
      <c r="I18" s="338"/>
      <c r="J18" s="338"/>
      <c r="K18" s="338"/>
      <c r="L18" s="338"/>
      <c r="M18" s="338"/>
      <c r="N18" s="47"/>
    </row>
    <row r="19" spans="2:14" x14ac:dyDescent="0.35">
      <c r="B19" s="338"/>
      <c r="C19" s="117" t="s">
        <v>666</v>
      </c>
      <c r="D19" s="116" t="s">
        <v>659</v>
      </c>
      <c r="E19" s="338"/>
      <c r="F19" s="338"/>
      <c r="G19" s="338"/>
      <c r="H19" s="338"/>
      <c r="I19" s="338"/>
      <c r="J19" s="338"/>
      <c r="K19" s="338"/>
      <c r="L19" s="338"/>
      <c r="M19" s="338"/>
      <c r="N19" s="47"/>
    </row>
    <row r="20" spans="2:14" x14ac:dyDescent="0.35">
      <c r="B20" s="338"/>
      <c r="C20" s="117" t="s">
        <v>667</v>
      </c>
      <c r="D20" s="116" t="s">
        <v>659</v>
      </c>
      <c r="E20" s="338"/>
      <c r="F20" s="338"/>
      <c r="G20" s="338"/>
      <c r="H20" s="338"/>
      <c r="I20" s="338"/>
      <c r="J20" s="338"/>
      <c r="K20" s="338"/>
      <c r="L20" s="338"/>
      <c r="M20" s="338"/>
      <c r="N20" s="47"/>
    </row>
    <row r="21" spans="2:14" x14ac:dyDescent="0.35">
      <c r="B21" s="338"/>
      <c r="C21" s="117" t="s">
        <v>668</v>
      </c>
      <c r="D21" s="116" t="s">
        <v>659</v>
      </c>
      <c r="E21" s="338"/>
      <c r="F21" s="338"/>
      <c r="G21" s="338"/>
      <c r="H21" s="338"/>
      <c r="I21" s="338"/>
      <c r="J21" s="338"/>
      <c r="K21" s="338"/>
      <c r="L21" s="338"/>
      <c r="M21" s="338"/>
      <c r="N21" s="47"/>
    </row>
    <row r="22" spans="2:14" x14ac:dyDescent="0.35">
      <c r="B22" s="338"/>
      <c r="C22" s="117" t="s">
        <v>64</v>
      </c>
      <c r="D22" s="116" t="s">
        <v>659</v>
      </c>
      <c r="E22" s="338"/>
      <c r="F22" s="338"/>
      <c r="G22" s="338"/>
      <c r="H22" s="338"/>
      <c r="I22" s="338"/>
      <c r="J22" s="338"/>
      <c r="K22" s="338"/>
      <c r="L22" s="338"/>
      <c r="M22" s="338"/>
      <c r="N22" s="47"/>
    </row>
    <row r="23" spans="2:14" x14ac:dyDescent="0.35">
      <c r="B23" s="338"/>
      <c r="C23" s="117" t="s">
        <v>669</v>
      </c>
      <c r="D23" s="116" t="s">
        <v>659</v>
      </c>
      <c r="E23" s="338"/>
      <c r="F23" s="338"/>
      <c r="G23" s="338"/>
      <c r="H23" s="338"/>
      <c r="I23" s="338"/>
      <c r="J23" s="338"/>
      <c r="K23" s="338"/>
      <c r="L23" s="338"/>
      <c r="M23" s="338"/>
      <c r="N23" s="47"/>
    </row>
    <row r="24" spans="2:14" x14ac:dyDescent="0.35">
      <c r="B24" s="338"/>
      <c r="C24" s="117" t="s">
        <v>670</v>
      </c>
      <c r="D24" s="116" t="s">
        <v>659</v>
      </c>
      <c r="E24" s="338"/>
      <c r="F24" s="338"/>
      <c r="G24" s="338"/>
      <c r="H24" s="338"/>
      <c r="I24" s="338"/>
      <c r="J24" s="338"/>
      <c r="K24" s="338"/>
      <c r="L24" s="338"/>
      <c r="M24" s="338"/>
      <c r="N24" s="47"/>
    </row>
    <row r="25" spans="2:14" x14ac:dyDescent="0.35">
      <c r="B25" s="338"/>
      <c r="C25" s="117" t="s">
        <v>671</v>
      </c>
      <c r="D25" s="116" t="s">
        <v>659</v>
      </c>
      <c r="E25" s="338"/>
      <c r="F25" s="338"/>
      <c r="G25" s="338"/>
      <c r="H25" s="338"/>
      <c r="I25" s="338"/>
      <c r="J25" s="338"/>
      <c r="K25" s="338"/>
      <c r="L25" s="338"/>
      <c r="M25" s="338"/>
      <c r="N25" s="47"/>
    </row>
    <row r="26" spans="2:14" x14ac:dyDescent="0.35">
      <c r="B26" s="338"/>
      <c r="C26" s="117" t="s">
        <v>672</v>
      </c>
      <c r="D26" s="116" t="s">
        <v>659</v>
      </c>
      <c r="E26" s="338"/>
      <c r="F26" s="338"/>
      <c r="G26" s="338"/>
      <c r="H26" s="338"/>
      <c r="I26" s="338"/>
      <c r="J26" s="338"/>
      <c r="K26" s="338"/>
      <c r="L26" s="338"/>
      <c r="M26" s="338"/>
      <c r="N26" s="47"/>
    </row>
    <row r="27" spans="2:14" x14ac:dyDescent="0.35">
      <c r="B27" s="338"/>
      <c r="C27" s="117" t="s">
        <v>673</v>
      </c>
      <c r="D27" s="116" t="s">
        <v>659</v>
      </c>
      <c r="E27" s="338"/>
      <c r="F27" s="338"/>
      <c r="G27" s="338"/>
      <c r="H27" s="338"/>
      <c r="I27" s="338"/>
      <c r="J27" s="338"/>
      <c r="K27" s="338"/>
      <c r="L27" s="338"/>
      <c r="M27" s="338"/>
      <c r="N27" s="47"/>
    </row>
    <row r="28" spans="2:14" x14ac:dyDescent="0.35">
      <c r="B28" s="338"/>
      <c r="C28" s="117" t="s">
        <v>674</v>
      </c>
      <c r="D28" s="116" t="s">
        <v>659</v>
      </c>
      <c r="E28" s="338"/>
      <c r="F28" s="338"/>
      <c r="G28" s="338"/>
      <c r="H28" s="338"/>
      <c r="I28" s="338"/>
      <c r="J28" s="338"/>
      <c r="K28" s="338"/>
      <c r="L28" s="338"/>
      <c r="M28" s="338"/>
      <c r="N28" s="47"/>
    </row>
    <row r="29" spans="2:14" ht="36.75" customHeight="1" x14ac:dyDescent="0.35">
      <c r="B29" s="336" t="s">
        <v>756</v>
      </c>
      <c r="C29" s="337"/>
      <c r="D29" s="116" t="s">
        <v>659</v>
      </c>
      <c r="E29" s="339" t="s">
        <v>759</v>
      </c>
      <c r="F29" s="339"/>
      <c r="G29" s="339"/>
      <c r="H29" s="339"/>
      <c r="I29" s="339"/>
      <c r="J29" s="339"/>
      <c r="K29" s="339"/>
      <c r="L29" s="339"/>
      <c r="M29" s="339"/>
      <c r="N29" s="47"/>
    </row>
    <row r="30" spans="2:14" ht="27.75" customHeight="1" x14ac:dyDescent="0.35">
      <c r="B30" s="336" t="s">
        <v>64</v>
      </c>
      <c r="C30" s="337"/>
      <c r="D30" s="116" t="s">
        <v>659</v>
      </c>
      <c r="E30" s="339" t="s">
        <v>759</v>
      </c>
      <c r="F30" s="339"/>
      <c r="G30" s="339"/>
      <c r="H30" s="339"/>
      <c r="I30" s="339"/>
      <c r="J30" s="339"/>
      <c r="K30" s="339"/>
      <c r="L30" s="339"/>
      <c r="M30" s="339"/>
      <c r="N30" s="47"/>
    </row>
    <row r="31" spans="2:14" ht="27.75" customHeight="1" x14ac:dyDescent="0.35">
      <c r="B31" s="336" t="s">
        <v>662</v>
      </c>
      <c r="C31" s="337"/>
      <c r="D31" s="116" t="s">
        <v>659</v>
      </c>
      <c r="E31" s="339" t="s">
        <v>759</v>
      </c>
      <c r="F31" s="339"/>
      <c r="G31" s="339"/>
      <c r="H31" s="339"/>
      <c r="I31" s="339"/>
      <c r="J31" s="339"/>
      <c r="K31" s="339"/>
      <c r="L31" s="339"/>
      <c r="M31" s="339"/>
      <c r="N31" s="47"/>
    </row>
    <row r="32" spans="2:14" ht="27.75" customHeight="1" x14ac:dyDescent="0.35">
      <c r="B32" s="336" t="s">
        <v>676</v>
      </c>
      <c r="C32" s="337"/>
      <c r="D32" s="116" t="s">
        <v>659</v>
      </c>
      <c r="E32" s="339" t="s">
        <v>759</v>
      </c>
      <c r="F32" s="339"/>
      <c r="G32" s="339"/>
      <c r="H32" s="339"/>
      <c r="I32" s="339"/>
      <c r="J32" s="339"/>
      <c r="K32" s="339"/>
      <c r="L32" s="339"/>
      <c r="M32" s="339"/>
      <c r="N32" s="47"/>
    </row>
    <row r="33" spans="2:14" ht="27.75" customHeight="1" x14ac:dyDescent="0.35">
      <c r="B33" s="336" t="s">
        <v>677</v>
      </c>
      <c r="C33" s="337"/>
      <c r="D33" s="116" t="s">
        <v>659</v>
      </c>
      <c r="E33" s="339" t="s">
        <v>759</v>
      </c>
      <c r="F33" s="339"/>
      <c r="G33" s="339"/>
      <c r="H33" s="339"/>
      <c r="I33" s="339"/>
      <c r="J33" s="339"/>
      <c r="K33" s="339"/>
      <c r="L33" s="339"/>
      <c r="M33" s="339"/>
      <c r="N33" s="47"/>
    </row>
    <row r="34" spans="2:14" ht="27.75" customHeight="1" x14ac:dyDescent="0.35">
      <c r="B34" s="336" t="s">
        <v>678</v>
      </c>
      <c r="C34" s="337"/>
      <c r="D34" s="116" t="s">
        <v>659</v>
      </c>
      <c r="E34" s="339" t="s">
        <v>759</v>
      </c>
      <c r="F34" s="339"/>
      <c r="G34" s="339"/>
      <c r="H34" s="339"/>
      <c r="I34" s="339"/>
      <c r="J34" s="339"/>
      <c r="K34" s="339"/>
      <c r="L34" s="339"/>
      <c r="M34" s="339"/>
      <c r="N34" s="47"/>
    </row>
    <row r="35" spans="2:14" s="40" customFormat="1" ht="27.75" customHeight="1" x14ac:dyDescent="0.35">
      <c r="B35" s="196"/>
      <c r="C35" s="196"/>
      <c r="D35" s="196"/>
      <c r="E35" s="196"/>
      <c r="F35" s="196"/>
      <c r="G35" s="196"/>
      <c r="H35" s="196"/>
      <c r="I35" s="196"/>
      <c r="J35" s="196"/>
      <c r="K35" s="196"/>
      <c r="L35" s="196"/>
      <c r="M35" s="196"/>
      <c r="N35" s="47"/>
    </row>
    <row r="36" spans="2:14" s="40" customFormat="1" x14ac:dyDescent="0.35">
      <c r="B36" s="196"/>
      <c r="C36" s="196"/>
      <c r="D36" s="196"/>
      <c r="E36" s="196"/>
      <c r="F36" s="196"/>
      <c r="G36" s="196"/>
      <c r="H36" s="196"/>
      <c r="I36" s="196"/>
      <c r="J36" s="196"/>
      <c r="K36" s="196"/>
      <c r="L36" s="196"/>
      <c r="M36" s="196"/>
      <c r="N36" s="47"/>
    </row>
    <row r="37" spans="2:14" s="40" customFormat="1" x14ac:dyDescent="0.35">
      <c r="B37" s="196"/>
      <c r="C37" s="196"/>
      <c r="D37" s="196"/>
      <c r="E37" s="196"/>
      <c r="F37" s="196"/>
      <c r="G37" s="196"/>
      <c r="H37" s="196"/>
      <c r="I37" s="196"/>
      <c r="J37" s="196"/>
      <c r="K37" s="196"/>
      <c r="L37" s="196"/>
      <c r="M37" s="196"/>
      <c r="N37" s="47"/>
    </row>
    <row r="38" spans="2:14" s="40" customFormat="1" x14ac:dyDescent="0.35">
      <c r="B38" s="196"/>
      <c r="C38" s="196"/>
      <c r="D38" s="196"/>
      <c r="E38" s="196"/>
      <c r="F38" s="196"/>
      <c r="G38" s="196"/>
      <c r="H38" s="196"/>
      <c r="I38" s="196"/>
      <c r="J38" s="196"/>
      <c r="K38" s="196"/>
      <c r="L38" s="196"/>
      <c r="M38" s="196"/>
      <c r="N38" s="47"/>
    </row>
    <row r="39" spans="2:14" s="40" customFormat="1" x14ac:dyDescent="0.35">
      <c r="B39" s="196"/>
      <c r="C39" s="196"/>
      <c r="D39" s="196"/>
      <c r="E39" s="196"/>
      <c r="F39" s="196"/>
      <c r="G39" s="196"/>
      <c r="H39" s="196"/>
      <c r="I39" s="196"/>
      <c r="J39" s="196"/>
      <c r="K39" s="196"/>
      <c r="L39" s="196"/>
      <c r="M39" s="196"/>
      <c r="N39" s="47"/>
    </row>
    <row r="40" spans="2:14" s="40" customFormat="1" x14ac:dyDescent="0.35">
      <c r="B40" s="196"/>
      <c r="C40" s="196"/>
      <c r="D40" s="196"/>
      <c r="E40" s="196"/>
      <c r="F40" s="196"/>
      <c r="G40" s="196"/>
      <c r="H40" s="196"/>
      <c r="I40" s="196"/>
      <c r="J40" s="196"/>
      <c r="K40" s="196"/>
      <c r="L40" s="196"/>
      <c r="M40" s="196"/>
      <c r="N40" s="47"/>
    </row>
    <row r="41" spans="2:14" s="40" customFormat="1" x14ac:dyDescent="0.35">
      <c r="B41" s="196"/>
      <c r="C41" s="196"/>
      <c r="D41" s="196"/>
      <c r="E41" s="196"/>
      <c r="F41" s="196"/>
      <c r="G41" s="196"/>
      <c r="H41" s="196"/>
      <c r="I41" s="196"/>
      <c r="J41" s="196"/>
      <c r="K41" s="196"/>
      <c r="L41" s="196"/>
      <c r="M41" s="196"/>
      <c r="N41" s="47"/>
    </row>
    <row r="42" spans="2:14" s="40" customFormat="1" x14ac:dyDescent="0.35">
      <c r="B42" s="196"/>
      <c r="C42" s="196"/>
      <c r="D42" s="196"/>
      <c r="E42" s="196"/>
      <c r="F42" s="196"/>
      <c r="G42" s="196"/>
      <c r="H42" s="196"/>
      <c r="I42" s="196"/>
      <c r="J42" s="196"/>
      <c r="K42" s="196"/>
      <c r="L42" s="196"/>
      <c r="M42" s="196"/>
      <c r="N42" s="47"/>
    </row>
    <row r="43" spans="2:14" s="40" customFormat="1" x14ac:dyDescent="0.35">
      <c r="B43" s="196"/>
      <c r="C43" s="196"/>
      <c r="D43" s="196"/>
      <c r="E43" s="196"/>
      <c r="F43" s="196"/>
      <c r="G43" s="196"/>
      <c r="H43" s="196"/>
      <c r="I43" s="196"/>
      <c r="J43" s="196"/>
      <c r="K43" s="196"/>
      <c r="L43" s="196"/>
      <c r="M43" s="196"/>
      <c r="N43" s="47"/>
    </row>
    <row r="44" spans="2:14" s="40" customFormat="1" x14ac:dyDescent="0.35">
      <c r="B44" s="196"/>
      <c r="C44" s="196"/>
      <c r="D44" s="196"/>
      <c r="E44" s="196"/>
      <c r="F44" s="196"/>
      <c r="G44" s="196"/>
      <c r="H44" s="196"/>
      <c r="I44" s="196"/>
      <c r="J44" s="196"/>
      <c r="K44" s="196"/>
      <c r="L44" s="196"/>
      <c r="M44" s="196"/>
      <c r="N44" s="47"/>
    </row>
    <row r="45" spans="2:14" s="40" customFormat="1" x14ac:dyDescent="0.35">
      <c r="B45" s="196"/>
      <c r="C45" s="196"/>
      <c r="D45" s="196"/>
      <c r="E45" s="196"/>
      <c r="F45" s="196"/>
      <c r="G45" s="196"/>
      <c r="H45" s="196"/>
      <c r="I45" s="196"/>
      <c r="J45" s="196"/>
      <c r="K45" s="196"/>
      <c r="L45" s="196"/>
      <c r="M45" s="196"/>
      <c r="N45" s="47"/>
    </row>
    <row r="46" spans="2:14" s="40" customFormat="1" x14ac:dyDescent="0.35">
      <c r="B46" s="47"/>
      <c r="C46" s="47"/>
      <c r="D46" s="47"/>
      <c r="E46" s="47"/>
      <c r="F46" s="47"/>
      <c r="G46" s="47"/>
      <c r="H46" s="47"/>
      <c r="I46" s="47"/>
      <c r="J46" s="47"/>
      <c r="K46" s="47"/>
      <c r="L46" s="47"/>
      <c r="M46" s="47"/>
      <c r="N46" s="47"/>
    </row>
    <row r="47" spans="2:14" s="40" customFormat="1" x14ac:dyDescent="0.35"/>
    <row r="48" spans="2:14" s="40" customFormat="1" x14ac:dyDescent="0.35"/>
    <row r="49" s="40" customFormat="1" x14ac:dyDescent="0.35"/>
    <row r="50" s="40" customFormat="1" x14ac:dyDescent="0.35"/>
    <row r="51" s="40" customFormat="1" x14ac:dyDescent="0.35"/>
    <row r="52" s="40" customFormat="1" x14ac:dyDescent="0.35"/>
    <row r="53" s="40" customFormat="1" x14ac:dyDescent="0.35"/>
    <row r="54" s="40" customFormat="1" x14ac:dyDescent="0.35"/>
    <row r="55" s="40" customFormat="1" x14ac:dyDescent="0.35"/>
    <row r="56" s="40" customFormat="1" x14ac:dyDescent="0.35"/>
    <row r="57" s="40" customFormat="1" x14ac:dyDescent="0.35"/>
  </sheetData>
  <mergeCells count="24">
    <mergeCell ref="B16:B28"/>
    <mergeCell ref="E7:G7"/>
    <mergeCell ref="H7:J7"/>
    <mergeCell ref="K7:M7"/>
    <mergeCell ref="B7:B8"/>
    <mergeCell ref="C7:C8"/>
    <mergeCell ref="D7:D8"/>
    <mergeCell ref="B15:C15"/>
    <mergeCell ref="B34:C34"/>
    <mergeCell ref="E9:M14"/>
    <mergeCell ref="E15:M15"/>
    <mergeCell ref="E16:M28"/>
    <mergeCell ref="E29:M29"/>
    <mergeCell ref="E30:M30"/>
    <mergeCell ref="E31:M31"/>
    <mergeCell ref="E32:M32"/>
    <mergeCell ref="E34:M34"/>
    <mergeCell ref="E33:M33"/>
    <mergeCell ref="B29:C29"/>
    <mergeCell ref="B30:C30"/>
    <mergeCell ref="B31:C31"/>
    <mergeCell ref="B32:C32"/>
    <mergeCell ref="B33:C33"/>
    <mergeCell ref="B9:B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3"/>
  <sheetViews>
    <sheetView workbookViewId="0">
      <selection activeCell="I19" sqref="I19"/>
    </sheetView>
  </sheetViews>
  <sheetFormatPr defaultRowHeight="14.5" x14ac:dyDescent="0.35"/>
  <cols>
    <col min="2" max="2" width="21.7265625" customWidth="1"/>
    <col min="8" max="8" width="17.81640625" customWidth="1"/>
    <col min="9" max="9" width="27" customWidth="1"/>
    <col min="10" max="10" width="24.26953125" customWidth="1"/>
    <col min="11" max="11" width="4.1796875" customWidth="1"/>
  </cols>
  <sheetData>
    <row r="1" spans="1:10" ht="26" x14ac:dyDescent="0.6">
      <c r="A1" s="6" t="s">
        <v>125</v>
      </c>
    </row>
    <row r="2" spans="1:10" x14ac:dyDescent="0.35">
      <c r="A2" t="s">
        <v>0</v>
      </c>
      <c r="B2" s="1">
        <v>2.4</v>
      </c>
      <c r="C2" t="s">
        <v>343</v>
      </c>
    </row>
    <row r="3" spans="1:10" x14ac:dyDescent="0.35">
      <c r="A3" s="5" t="s">
        <v>76</v>
      </c>
      <c r="B3" s="1">
        <v>3</v>
      </c>
      <c r="C3" t="s">
        <v>50</v>
      </c>
    </row>
    <row r="6" spans="1:10" ht="18" customHeight="1" x14ac:dyDescent="0.35">
      <c r="B6" s="208" t="s">
        <v>203</v>
      </c>
      <c r="C6" s="208" t="s">
        <v>204</v>
      </c>
      <c r="D6" s="208"/>
      <c r="E6" s="208"/>
      <c r="F6" s="208"/>
      <c r="G6" s="208"/>
      <c r="H6" s="208" t="s">
        <v>112</v>
      </c>
      <c r="I6" s="208" t="s">
        <v>205</v>
      </c>
      <c r="J6" s="208" t="s">
        <v>206</v>
      </c>
    </row>
    <row r="7" spans="1:10" x14ac:dyDescent="0.35">
      <c r="B7" s="208"/>
      <c r="C7" s="8">
        <v>2015</v>
      </c>
      <c r="D7" s="8">
        <v>2016</v>
      </c>
      <c r="E7" s="8">
        <v>2017</v>
      </c>
      <c r="F7" s="8">
        <v>2018</v>
      </c>
      <c r="G7" s="8">
        <v>2019</v>
      </c>
      <c r="H7" s="208"/>
      <c r="I7" s="208"/>
      <c r="J7" s="208"/>
    </row>
    <row r="8" spans="1:10" ht="51.75" customHeight="1" x14ac:dyDescent="0.35">
      <c r="B8" s="149" t="s">
        <v>599</v>
      </c>
      <c r="C8" s="75">
        <v>14</v>
      </c>
      <c r="D8" s="75">
        <v>10</v>
      </c>
      <c r="E8" s="75">
        <v>1</v>
      </c>
      <c r="F8" s="75">
        <v>7</v>
      </c>
      <c r="G8" s="75">
        <v>20</v>
      </c>
      <c r="H8" s="75" t="s">
        <v>605</v>
      </c>
      <c r="I8" s="221" t="s">
        <v>607</v>
      </c>
      <c r="J8" s="218" t="s">
        <v>850</v>
      </c>
    </row>
    <row r="9" spans="1:10" ht="51.75" customHeight="1" x14ac:dyDescent="0.35">
      <c r="B9" s="149" t="s">
        <v>600</v>
      </c>
      <c r="C9" s="75">
        <v>13</v>
      </c>
      <c r="D9" s="75">
        <v>12</v>
      </c>
      <c r="E9" s="75">
        <v>5</v>
      </c>
      <c r="F9" s="75">
        <v>23</v>
      </c>
      <c r="G9" s="75">
        <v>19</v>
      </c>
      <c r="H9" s="75" t="s">
        <v>605</v>
      </c>
      <c r="I9" s="222"/>
      <c r="J9" s="219"/>
    </row>
    <row r="10" spans="1:10" ht="51.75" customHeight="1" x14ac:dyDescent="0.35">
      <c r="B10" s="149" t="s">
        <v>601</v>
      </c>
      <c r="C10" s="75">
        <v>6</v>
      </c>
      <c r="D10" s="75">
        <v>6</v>
      </c>
      <c r="E10" s="75">
        <v>0</v>
      </c>
      <c r="F10" s="75">
        <v>1</v>
      </c>
      <c r="G10" s="75">
        <v>7</v>
      </c>
      <c r="H10" s="75" t="s">
        <v>606</v>
      </c>
      <c r="I10" s="221" t="s">
        <v>608</v>
      </c>
      <c r="J10" s="219"/>
    </row>
    <row r="11" spans="1:10" ht="51.75" customHeight="1" x14ac:dyDescent="0.35">
      <c r="B11" s="149" t="s">
        <v>602</v>
      </c>
      <c r="C11" s="75">
        <v>5</v>
      </c>
      <c r="D11" s="75">
        <v>3</v>
      </c>
      <c r="E11" s="75">
        <v>4</v>
      </c>
      <c r="F11" s="75">
        <v>5</v>
      </c>
      <c r="G11" s="75">
        <v>5</v>
      </c>
      <c r="H11" s="75" t="s">
        <v>605</v>
      </c>
      <c r="I11" s="222"/>
      <c r="J11" s="219"/>
    </row>
    <row r="12" spans="1:10" ht="51.75" customHeight="1" x14ac:dyDescent="0.35">
      <c r="B12" s="149" t="s">
        <v>603</v>
      </c>
      <c r="C12" s="52">
        <v>9</v>
      </c>
      <c r="D12" s="52">
        <v>7</v>
      </c>
      <c r="E12" s="52">
        <v>8</v>
      </c>
      <c r="F12" s="52">
        <v>8</v>
      </c>
      <c r="G12" s="52">
        <v>20</v>
      </c>
      <c r="H12" s="75" t="s">
        <v>605</v>
      </c>
      <c r="I12" s="128" t="s">
        <v>784</v>
      </c>
      <c r="J12" s="219"/>
    </row>
    <row r="13" spans="1:10" ht="51.75" customHeight="1" x14ac:dyDescent="0.35">
      <c r="B13" s="149" t="s">
        <v>604</v>
      </c>
      <c r="C13" s="52" t="s">
        <v>777</v>
      </c>
      <c r="D13" s="52">
        <f>D12-C12</f>
        <v>-2</v>
      </c>
      <c r="E13" s="52">
        <f t="shared" ref="E13:G13" si="0">E12-D12</f>
        <v>1</v>
      </c>
      <c r="F13" s="52">
        <f t="shared" si="0"/>
        <v>0</v>
      </c>
      <c r="G13" s="52">
        <f t="shared" si="0"/>
        <v>12</v>
      </c>
      <c r="H13" s="75" t="s">
        <v>605</v>
      </c>
      <c r="I13" s="128" t="s">
        <v>609</v>
      </c>
      <c r="J13" s="220"/>
    </row>
  </sheetData>
  <mergeCells count="8">
    <mergeCell ref="J6:J7"/>
    <mergeCell ref="J8:J13"/>
    <mergeCell ref="I8:I9"/>
    <mergeCell ref="I10:I11"/>
    <mergeCell ref="B6:B7"/>
    <mergeCell ref="C6:G6"/>
    <mergeCell ref="H6:H7"/>
    <mergeCell ref="I6:I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18"/>
  <sheetViews>
    <sheetView workbookViewId="0">
      <selection activeCell="L10" sqref="L10"/>
    </sheetView>
  </sheetViews>
  <sheetFormatPr defaultRowHeight="14.5" x14ac:dyDescent="0.35"/>
  <cols>
    <col min="1" max="1" width="9.26953125" customWidth="1"/>
    <col min="2" max="2" width="20" customWidth="1"/>
    <col min="3" max="6" width="20" style="1" customWidth="1"/>
    <col min="7" max="7" width="20" style="39" customWidth="1"/>
    <col min="8" max="8" width="20" style="1" customWidth="1"/>
    <col min="9" max="9" width="20" style="39" customWidth="1"/>
    <col min="10" max="19" width="9.1796875" style="40"/>
  </cols>
  <sheetData>
    <row r="1" spans="1:9" s="40" customFormat="1" ht="26" x14ac:dyDescent="0.6">
      <c r="A1" s="42" t="s">
        <v>125</v>
      </c>
      <c r="C1" s="39"/>
      <c r="D1" s="39"/>
      <c r="E1" s="39"/>
      <c r="F1" s="39"/>
      <c r="G1" s="39"/>
      <c r="H1" s="39"/>
      <c r="I1" s="39"/>
    </row>
    <row r="2" spans="1:9" s="40" customFormat="1" x14ac:dyDescent="0.35">
      <c r="A2" s="40" t="s">
        <v>0</v>
      </c>
      <c r="B2" s="39">
        <v>2.5</v>
      </c>
      <c r="C2" s="43" t="s">
        <v>341</v>
      </c>
      <c r="D2" s="39"/>
      <c r="E2" s="39"/>
      <c r="F2" s="39"/>
      <c r="G2" s="39"/>
      <c r="H2" s="39"/>
      <c r="I2" s="39"/>
    </row>
    <row r="3" spans="1:9" s="40" customFormat="1" x14ac:dyDescent="0.35">
      <c r="A3" s="44" t="s">
        <v>76</v>
      </c>
      <c r="B3" s="39">
        <v>4</v>
      </c>
      <c r="C3" s="43" t="s">
        <v>555</v>
      </c>
      <c r="D3" s="39"/>
      <c r="E3" s="39"/>
      <c r="F3" s="39"/>
      <c r="G3" s="39"/>
      <c r="H3" s="39"/>
      <c r="I3" s="39"/>
    </row>
    <row r="4" spans="1:9" s="40" customFormat="1" x14ac:dyDescent="0.35">
      <c r="C4" s="39"/>
      <c r="D4" s="39"/>
      <c r="E4" s="39"/>
      <c r="F4" s="39"/>
      <c r="G4" s="39"/>
      <c r="H4" s="39"/>
      <c r="I4" s="39"/>
    </row>
    <row r="5" spans="1:9" x14ac:dyDescent="0.35">
      <c r="A5" s="40"/>
      <c r="B5" s="40"/>
      <c r="C5" s="39"/>
      <c r="D5" s="39"/>
      <c r="E5" s="39"/>
      <c r="F5" s="39"/>
      <c r="H5" s="39"/>
    </row>
    <row r="6" spans="1:9" x14ac:dyDescent="0.35">
      <c r="A6" s="40"/>
      <c r="B6" s="40"/>
      <c r="C6" s="39"/>
      <c r="D6" s="39"/>
      <c r="E6" s="39"/>
      <c r="F6" s="39"/>
      <c r="H6" s="39"/>
    </row>
    <row r="7" spans="1:9" x14ac:dyDescent="0.35">
      <c r="A7" s="40"/>
      <c r="B7" s="227" t="s">
        <v>684</v>
      </c>
      <c r="C7" s="228"/>
      <c r="D7" s="229"/>
      <c r="E7" s="230" t="s">
        <v>685</v>
      </c>
      <c r="F7" s="230"/>
      <c r="G7" s="230" t="s">
        <v>686</v>
      </c>
      <c r="H7" s="230"/>
      <c r="I7" s="223" t="s">
        <v>205</v>
      </c>
    </row>
    <row r="8" spans="1:9" ht="24" x14ac:dyDescent="0.35">
      <c r="B8" s="125" t="s">
        <v>687</v>
      </c>
      <c r="C8" s="125" t="s">
        <v>487</v>
      </c>
      <c r="D8" s="125" t="s">
        <v>688</v>
      </c>
      <c r="E8" s="98" t="s">
        <v>689</v>
      </c>
      <c r="F8" s="98" t="s">
        <v>690</v>
      </c>
      <c r="G8" s="98" t="s">
        <v>691</v>
      </c>
      <c r="H8" s="98" t="s">
        <v>692</v>
      </c>
      <c r="I8" s="223"/>
    </row>
    <row r="9" spans="1:9" ht="47.25" customHeight="1" x14ac:dyDescent="0.35">
      <c r="B9" s="124" t="s">
        <v>693</v>
      </c>
      <c r="C9" s="123" t="s">
        <v>694</v>
      </c>
      <c r="D9" s="123" t="s">
        <v>852</v>
      </c>
      <c r="E9" s="99" t="s">
        <v>853</v>
      </c>
      <c r="F9" s="99">
        <v>2022</v>
      </c>
      <c r="G9" s="99" t="s">
        <v>695</v>
      </c>
      <c r="H9" s="100">
        <v>0.28999999999999998</v>
      </c>
      <c r="I9" s="99" t="s">
        <v>696</v>
      </c>
    </row>
    <row r="10" spans="1:9" ht="93.75" customHeight="1" x14ac:dyDescent="0.35">
      <c r="B10" s="224" t="s">
        <v>697</v>
      </c>
      <c r="C10" s="123" t="s">
        <v>698</v>
      </c>
      <c r="D10" s="123" t="s">
        <v>730</v>
      </c>
      <c r="E10" s="99" t="s">
        <v>699</v>
      </c>
      <c r="F10" s="99">
        <v>2020</v>
      </c>
      <c r="G10" s="99" t="s">
        <v>854</v>
      </c>
      <c r="H10" s="100">
        <v>0.75</v>
      </c>
      <c r="I10" s="99" t="s">
        <v>700</v>
      </c>
    </row>
    <row r="11" spans="1:9" ht="80.25" customHeight="1" x14ac:dyDescent="0.35">
      <c r="B11" s="226"/>
      <c r="C11" s="123" t="s">
        <v>701</v>
      </c>
      <c r="D11" s="123" t="s">
        <v>702</v>
      </c>
      <c r="E11" s="99" t="s">
        <v>703</v>
      </c>
      <c r="F11" s="99" t="s">
        <v>704</v>
      </c>
      <c r="G11" s="99" t="s">
        <v>705</v>
      </c>
      <c r="H11" s="99" t="s">
        <v>706</v>
      </c>
      <c r="I11" s="99" t="s">
        <v>707</v>
      </c>
    </row>
    <row r="12" spans="1:9" ht="84" customHeight="1" x14ac:dyDescent="0.35">
      <c r="B12" s="225"/>
      <c r="C12" s="123" t="s">
        <v>708</v>
      </c>
      <c r="D12" s="150" t="s">
        <v>730</v>
      </c>
      <c r="E12" s="99" t="s">
        <v>699</v>
      </c>
      <c r="F12" s="99">
        <v>2020</v>
      </c>
      <c r="G12" s="99" t="s">
        <v>855</v>
      </c>
      <c r="H12" s="100">
        <v>0.75</v>
      </c>
      <c r="I12" s="99" t="s">
        <v>709</v>
      </c>
    </row>
    <row r="13" spans="1:9" ht="43.5" customHeight="1" x14ac:dyDescent="0.35">
      <c r="B13" s="224" t="s">
        <v>710</v>
      </c>
      <c r="C13" s="123" t="s">
        <v>711</v>
      </c>
      <c r="D13" s="123" t="s">
        <v>731</v>
      </c>
      <c r="E13" s="99" t="s">
        <v>851</v>
      </c>
      <c r="F13" s="99">
        <v>2023</v>
      </c>
      <c r="G13" s="99" t="s">
        <v>712</v>
      </c>
      <c r="H13" s="100">
        <v>0.1</v>
      </c>
      <c r="I13" s="99" t="s">
        <v>713</v>
      </c>
    </row>
    <row r="14" spans="1:9" ht="57" customHeight="1" x14ac:dyDescent="0.35">
      <c r="B14" s="226"/>
      <c r="C14" s="123" t="s">
        <v>714</v>
      </c>
      <c r="D14" s="123" t="s">
        <v>731</v>
      </c>
      <c r="E14" s="99" t="s">
        <v>715</v>
      </c>
      <c r="F14" s="99">
        <v>2023</v>
      </c>
      <c r="G14" s="99" t="s">
        <v>716</v>
      </c>
      <c r="H14" s="100">
        <v>0.03</v>
      </c>
      <c r="I14" s="99" t="s">
        <v>717</v>
      </c>
    </row>
    <row r="15" spans="1:9" ht="57" customHeight="1" x14ac:dyDescent="0.35">
      <c r="B15" s="226"/>
      <c r="C15" s="151" t="s">
        <v>718</v>
      </c>
      <c r="D15" s="123" t="s">
        <v>871</v>
      </c>
      <c r="E15" s="150" t="s">
        <v>719</v>
      </c>
      <c r="F15" s="150">
        <v>2022</v>
      </c>
      <c r="G15" s="150" t="s">
        <v>720</v>
      </c>
      <c r="H15" s="152">
        <v>0.15</v>
      </c>
      <c r="I15" s="150" t="s">
        <v>721</v>
      </c>
    </row>
    <row r="16" spans="1:9" ht="57" customHeight="1" x14ac:dyDescent="0.35">
      <c r="B16" s="225"/>
      <c r="C16" s="123" t="s">
        <v>722</v>
      </c>
      <c r="D16" s="123" t="s">
        <v>731</v>
      </c>
      <c r="E16" s="101">
        <v>4000</v>
      </c>
      <c r="F16" s="99">
        <v>2023</v>
      </c>
      <c r="G16" s="99" t="s">
        <v>723</v>
      </c>
      <c r="H16" s="100">
        <v>0.1</v>
      </c>
      <c r="I16" s="99" t="s">
        <v>724</v>
      </c>
    </row>
    <row r="17" spans="2:9" ht="87.75" customHeight="1" x14ac:dyDescent="0.35">
      <c r="B17" s="224" t="s">
        <v>725</v>
      </c>
      <c r="C17" s="123" t="s">
        <v>726</v>
      </c>
      <c r="D17" s="123" t="s">
        <v>702</v>
      </c>
      <c r="E17" s="192" t="s">
        <v>872</v>
      </c>
      <c r="F17" s="193" t="s">
        <v>704</v>
      </c>
      <c r="G17" s="192" t="s">
        <v>872</v>
      </c>
      <c r="H17" s="99" t="s">
        <v>873</v>
      </c>
      <c r="I17" s="99" t="s">
        <v>727</v>
      </c>
    </row>
    <row r="18" spans="2:9" ht="72" customHeight="1" x14ac:dyDescent="0.35">
      <c r="B18" s="225"/>
      <c r="C18" s="123" t="s">
        <v>728</v>
      </c>
      <c r="D18" s="123" t="s">
        <v>702</v>
      </c>
      <c r="E18" s="193" t="s">
        <v>874</v>
      </c>
      <c r="F18" s="193" t="s">
        <v>704</v>
      </c>
      <c r="G18" s="193" t="s">
        <v>875</v>
      </c>
      <c r="H18" s="99" t="s">
        <v>876</v>
      </c>
      <c r="I18" s="99" t="s">
        <v>729</v>
      </c>
    </row>
  </sheetData>
  <mergeCells count="7">
    <mergeCell ref="I7:I8"/>
    <mergeCell ref="B17:B18"/>
    <mergeCell ref="B13:B16"/>
    <mergeCell ref="B10:B12"/>
    <mergeCell ref="B7:D7"/>
    <mergeCell ref="E7:F7"/>
    <mergeCell ref="G7:H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42"/>
  <sheetViews>
    <sheetView workbookViewId="0">
      <selection activeCell="H30" sqref="H30"/>
    </sheetView>
  </sheetViews>
  <sheetFormatPr defaultRowHeight="14.5" x14ac:dyDescent="0.35"/>
  <cols>
    <col min="1" max="1" width="9.1796875" style="40"/>
    <col min="2" max="2" width="18.453125" customWidth="1"/>
    <col min="19" max="19" width="2.81640625" style="41" customWidth="1"/>
    <col min="20" max="26" width="9.1796875" style="40"/>
  </cols>
  <sheetData>
    <row r="1" spans="1:19" s="40" customFormat="1" ht="26" x14ac:dyDescent="0.6">
      <c r="A1" s="42" t="s">
        <v>125</v>
      </c>
      <c r="S1" s="41"/>
    </row>
    <row r="2" spans="1:19" s="40" customFormat="1" x14ac:dyDescent="0.35">
      <c r="A2" s="40" t="s">
        <v>0</v>
      </c>
      <c r="B2" s="43">
        <v>2.6</v>
      </c>
      <c r="C2" s="40" t="s">
        <v>344</v>
      </c>
      <c r="S2" s="41"/>
    </row>
    <row r="3" spans="1:19" s="40" customFormat="1" x14ac:dyDescent="0.35">
      <c r="A3" s="44" t="s">
        <v>76</v>
      </c>
      <c r="B3" s="43">
        <v>5</v>
      </c>
      <c r="C3" s="40" t="s">
        <v>91</v>
      </c>
      <c r="S3" s="41"/>
    </row>
    <row r="4" spans="1:19" s="40" customFormat="1" x14ac:dyDescent="0.35">
      <c r="S4" s="41"/>
    </row>
    <row r="5" spans="1:19" s="40" customFormat="1" x14ac:dyDescent="0.35">
      <c r="S5" s="41"/>
    </row>
    <row r="6" spans="1:19" x14ac:dyDescent="0.35">
      <c r="B6" s="208" t="s">
        <v>207</v>
      </c>
      <c r="C6" s="208" t="s">
        <v>208</v>
      </c>
      <c r="D6" s="208"/>
      <c r="E6" s="208"/>
      <c r="F6" s="208"/>
      <c r="G6" s="208"/>
      <c r="H6" s="208"/>
      <c r="I6" s="208"/>
      <c r="J6" s="208"/>
      <c r="K6" s="208"/>
      <c r="L6" s="208"/>
      <c r="M6" s="208"/>
      <c r="N6" s="208"/>
      <c r="O6" s="208"/>
      <c r="P6" s="208"/>
      <c r="Q6" s="208"/>
      <c r="R6" s="208" t="s">
        <v>97</v>
      </c>
    </row>
    <row r="7" spans="1:19" x14ac:dyDescent="0.35">
      <c r="B7" s="208"/>
      <c r="C7" s="208" t="s">
        <v>209</v>
      </c>
      <c r="D7" s="208"/>
      <c r="E7" s="208"/>
      <c r="F7" s="208"/>
      <c r="G7" s="208"/>
      <c r="H7" s="208" t="s">
        <v>210</v>
      </c>
      <c r="I7" s="208"/>
      <c r="J7" s="208"/>
      <c r="K7" s="208"/>
      <c r="L7" s="208"/>
      <c r="M7" s="208" t="s">
        <v>211</v>
      </c>
      <c r="N7" s="208"/>
      <c r="O7" s="208"/>
      <c r="P7" s="208"/>
      <c r="Q7" s="208"/>
      <c r="R7" s="208"/>
    </row>
    <row r="8" spans="1:19" x14ac:dyDescent="0.35">
      <c r="B8" s="15" t="s">
        <v>212</v>
      </c>
      <c r="C8" s="8">
        <v>2015</v>
      </c>
      <c r="D8" s="8">
        <v>2016</v>
      </c>
      <c r="E8" s="8">
        <v>2017</v>
      </c>
      <c r="F8" s="8">
        <v>2018</v>
      </c>
      <c r="G8" s="8">
        <v>2019</v>
      </c>
      <c r="H8" s="8">
        <v>2015</v>
      </c>
      <c r="I8" s="8">
        <v>2016</v>
      </c>
      <c r="J8" s="8">
        <v>2017</v>
      </c>
      <c r="K8" s="8">
        <v>2018</v>
      </c>
      <c r="L8" s="8">
        <v>2019</v>
      </c>
      <c r="M8" s="8">
        <v>2015</v>
      </c>
      <c r="N8" s="8">
        <v>2016</v>
      </c>
      <c r="O8" s="8">
        <v>2017</v>
      </c>
      <c r="P8" s="8">
        <v>2018</v>
      </c>
      <c r="Q8" s="8">
        <v>2019</v>
      </c>
      <c r="R8" s="208"/>
    </row>
    <row r="9" spans="1:19" x14ac:dyDescent="0.35">
      <c r="B9" s="45" t="s">
        <v>213</v>
      </c>
      <c r="C9" s="52" t="s">
        <v>51</v>
      </c>
      <c r="D9" s="52" t="s">
        <v>51</v>
      </c>
      <c r="E9" s="52" t="s">
        <v>51</v>
      </c>
      <c r="F9" s="52" t="s">
        <v>51</v>
      </c>
      <c r="G9" s="52">
        <v>0</v>
      </c>
      <c r="H9" s="52" t="s">
        <v>51</v>
      </c>
      <c r="I9" s="52" t="s">
        <v>51</v>
      </c>
      <c r="J9" s="52" t="s">
        <v>51</v>
      </c>
      <c r="K9" s="52" t="s">
        <v>51</v>
      </c>
      <c r="L9" s="52">
        <v>0</v>
      </c>
      <c r="M9" s="52" t="s">
        <v>51</v>
      </c>
      <c r="N9" s="52" t="s">
        <v>51</v>
      </c>
      <c r="O9" s="52" t="s">
        <v>51</v>
      </c>
      <c r="P9" s="52" t="s">
        <v>51</v>
      </c>
      <c r="Q9" s="52">
        <v>0</v>
      </c>
      <c r="R9" s="54">
        <f>Q9+L9+G9</f>
        <v>0</v>
      </c>
    </row>
    <row r="10" spans="1:19" x14ac:dyDescent="0.35">
      <c r="B10" s="45" t="s">
        <v>214</v>
      </c>
      <c r="C10" s="52" t="s">
        <v>51</v>
      </c>
      <c r="D10" s="52" t="s">
        <v>51</v>
      </c>
      <c r="E10" s="52" t="s">
        <v>51</v>
      </c>
      <c r="F10" s="52" t="s">
        <v>51</v>
      </c>
      <c r="G10" s="52">
        <v>0</v>
      </c>
      <c r="H10" s="52" t="s">
        <v>51</v>
      </c>
      <c r="I10" s="52" t="s">
        <v>51</v>
      </c>
      <c r="J10" s="52" t="s">
        <v>51</v>
      </c>
      <c r="K10" s="52" t="s">
        <v>51</v>
      </c>
      <c r="L10" s="52">
        <v>0</v>
      </c>
      <c r="M10" s="52" t="s">
        <v>51</v>
      </c>
      <c r="N10" s="52" t="s">
        <v>51</v>
      </c>
      <c r="O10" s="52" t="s">
        <v>51</v>
      </c>
      <c r="P10" s="52" t="s">
        <v>51</v>
      </c>
      <c r="Q10" s="52">
        <v>0</v>
      </c>
      <c r="R10" s="54">
        <f t="shared" ref="R10:R14" si="0">Q10+L10+G10</f>
        <v>0</v>
      </c>
    </row>
    <row r="11" spans="1:19" x14ac:dyDescent="0.35">
      <c r="B11" s="45" t="s">
        <v>215</v>
      </c>
      <c r="C11" s="52" t="s">
        <v>51</v>
      </c>
      <c r="D11" s="52" t="s">
        <v>51</v>
      </c>
      <c r="E11" s="52" t="s">
        <v>51</v>
      </c>
      <c r="F11" s="52" t="s">
        <v>51</v>
      </c>
      <c r="G11" s="52">
        <v>0</v>
      </c>
      <c r="H11" s="52" t="s">
        <v>51</v>
      </c>
      <c r="I11" s="52" t="s">
        <v>51</v>
      </c>
      <c r="J11" s="52" t="s">
        <v>51</v>
      </c>
      <c r="K11" s="52" t="s">
        <v>51</v>
      </c>
      <c r="L11" s="52">
        <v>0</v>
      </c>
      <c r="M11" s="52" t="s">
        <v>51</v>
      </c>
      <c r="N11" s="52" t="s">
        <v>51</v>
      </c>
      <c r="O11" s="52" t="s">
        <v>51</v>
      </c>
      <c r="P11" s="52" t="s">
        <v>51</v>
      </c>
      <c r="Q11" s="52">
        <v>0</v>
      </c>
      <c r="R11" s="54">
        <f t="shared" si="0"/>
        <v>0</v>
      </c>
    </row>
    <row r="12" spans="1:19" x14ac:dyDescent="0.35">
      <c r="B12" s="45" t="s">
        <v>216</v>
      </c>
      <c r="C12" s="52" t="s">
        <v>51</v>
      </c>
      <c r="D12" s="52" t="s">
        <v>51</v>
      </c>
      <c r="E12" s="52" t="s">
        <v>51</v>
      </c>
      <c r="F12" s="52" t="s">
        <v>51</v>
      </c>
      <c r="G12" s="52">
        <v>0</v>
      </c>
      <c r="H12" s="52" t="s">
        <v>51</v>
      </c>
      <c r="I12" s="52" t="s">
        <v>51</v>
      </c>
      <c r="J12" s="52" t="s">
        <v>51</v>
      </c>
      <c r="K12" s="52" t="s">
        <v>51</v>
      </c>
      <c r="L12" s="52">
        <v>0</v>
      </c>
      <c r="M12" s="52" t="s">
        <v>51</v>
      </c>
      <c r="N12" s="52" t="s">
        <v>51</v>
      </c>
      <c r="O12" s="52" t="s">
        <v>51</v>
      </c>
      <c r="P12" s="52" t="s">
        <v>51</v>
      </c>
      <c r="Q12" s="52">
        <v>0</v>
      </c>
      <c r="R12" s="54">
        <f t="shared" si="0"/>
        <v>0</v>
      </c>
    </row>
    <row r="13" spans="1:19" x14ac:dyDescent="0.35">
      <c r="B13" s="45" t="s">
        <v>64</v>
      </c>
      <c r="C13" s="52" t="s">
        <v>51</v>
      </c>
      <c r="D13" s="52" t="s">
        <v>51</v>
      </c>
      <c r="E13" s="52" t="s">
        <v>51</v>
      </c>
      <c r="F13" s="52" t="s">
        <v>51</v>
      </c>
      <c r="G13" s="52">
        <v>0</v>
      </c>
      <c r="H13" s="52" t="s">
        <v>51</v>
      </c>
      <c r="I13" s="52" t="s">
        <v>51</v>
      </c>
      <c r="J13" s="52" t="s">
        <v>51</v>
      </c>
      <c r="K13" s="52" t="s">
        <v>51</v>
      </c>
      <c r="L13" s="52">
        <v>0</v>
      </c>
      <c r="M13" s="52" t="s">
        <v>51</v>
      </c>
      <c r="N13" s="52" t="s">
        <v>51</v>
      </c>
      <c r="O13" s="52" t="s">
        <v>51</v>
      </c>
      <c r="P13" s="52" t="s">
        <v>51</v>
      </c>
      <c r="Q13" s="52">
        <v>0</v>
      </c>
      <c r="R13" s="54">
        <f t="shared" si="0"/>
        <v>0</v>
      </c>
    </row>
    <row r="14" spans="1:19" x14ac:dyDescent="0.35">
      <c r="B14" s="45" t="s">
        <v>217</v>
      </c>
      <c r="C14" s="52" t="s">
        <v>51</v>
      </c>
      <c r="D14" s="52" t="s">
        <v>51</v>
      </c>
      <c r="E14" s="52" t="s">
        <v>51</v>
      </c>
      <c r="F14" s="52" t="s">
        <v>51</v>
      </c>
      <c r="G14" s="52">
        <v>0</v>
      </c>
      <c r="H14" s="52" t="s">
        <v>51</v>
      </c>
      <c r="I14" s="52" t="s">
        <v>51</v>
      </c>
      <c r="J14" s="52" t="s">
        <v>51</v>
      </c>
      <c r="K14" s="52" t="s">
        <v>51</v>
      </c>
      <c r="L14" s="52">
        <v>0</v>
      </c>
      <c r="M14" s="52" t="s">
        <v>51</v>
      </c>
      <c r="N14" s="52" t="s">
        <v>51</v>
      </c>
      <c r="O14" s="52" t="s">
        <v>51</v>
      </c>
      <c r="P14" s="52" t="s">
        <v>51</v>
      </c>
      <c r="Q14" s="52">
        <v>0</v>
      </c>
      <c r="R14" s="54">
        <f t="shared" si="0"/>
        <v>0</v>
      </c>
    </row>
    <row r="15" spans="1:19" s="40" customFormat="1" x14ac:dyDescent="0.35">
      <c r="S15" s="41"/>
    </row>
    <row r="16" spans="1:19" s="40" customFormat="1" x14ac:dyDescent="0.35">
      <c r="S16" s="41"/>
    </row>
    <row r="17" spans="19:19" s="40" customFormat="1" x14ac:dyDescent="0.35">
      <c r="S17" s="41"/>
    </row>
    <row r="18" spans="19:19" s="40" customFormat="1" x14ac:dyDescent="0.35">
      <c r="S18" s="41"/>
    </row>
    <row r="19" spans="19:19" s="40" customFormat="1" x14ac:dyDescent="0.35">
      <c r="S19" s="41"/>
    </row>
    <row r="20" spans="19:19" s="40" customFormat="1" x14ac:dyDescent="0.35">
      <c r="S20" s="41"/>
    </row>
    <row r="21" spans="19:19" s="40" customFormat="1" x14ac:dyDescent="0.35">
      <c r="S21" s="41"/>
    </row>
    <row r="22" spans="19:19" s="40" customFormat="1" x14ac:dyDescent="0.35">
      <c r="S22" s="41"/>
    </row>
    <row r="23" spans="19:19" s="40" customFormat="1" x14ac:dyDescent="0.35">
      <c r="S23" s="41"/>
    </row>
    <row r="24" spans="19:19" s="40" customFormat="1" x14ac:dyDescent="0.35">
      <c r="S24" s="41"/>
    </row>
    <row r="25" spans="19:19" s="40" customFormat="1" x14ac:dyDescent="0.35">
      <c r="S25" s="41"/>
    </row>
    <row r="26" spans="19:19" s="40" customFormat="1" x14ac:dyDescent="0.35">
      <c r="S26" s="41"/>
    </row>
    <row r="27" spans="19:19" s="40" customFormat="1" x14ac:dyDescent="0.35">
      <c r="S27" s="41"/>
    </row>
    <row r="28" spans="19:19" s="40" customFormat="1" x14ac:dyDescent="0.35">
      <c r="S28" s="41"/>
    </row>
    <row r="29" spans="19:19" s="40" customFormat="1" x14ac:dyDescent="0.35">
      <c r="S29" s="41"/>
    </row>
    <row r="30" spans="19:19" s="40" customFormat="1" x14ac:dyDescent="0.35">
      <c r="S30" s="41"/>
    </row>
    <row r="31" spans="19:19" s="40" customFormat="1" x14ac:dyDescent="0.35">
      <c r="S31" s="41"/>
    </row>
    <row r="32" spans="19:19" s="40" customFormat="1" x14ac:dyDescent="0.35">
      <c r="S32" s="41"/>
    </row>
    <row r="33" spans="19:19" s="40" customFormat="1" x14ac:dyDescent="0.35">
      <c r="S33" s="41"/>
    </row>
    <row r="34" spans="19:19" s="40" customFormat="1" x14ac:dyDescent="0.35">
      <c r="S34" s="41"/>
    </row>
    <row r="35" spans="19:19" s="40" customFormat="1" x14ac:dyDescent="0.35">
      <c r="S35" s="41"/>
    </row>
    <row r="36" spans="19:19" s="40" customFormat="1" x14ac:dyDescent="0.35">
      <c r="S36" s="41"/>
    </row>
    <row r="37" spans="19:19" s="40" customFormat="1" x14ac:dyDescent="0.35">
      <c r="S37" s="41"/>
    </row>
    <row r="38" spans="19:19" s="40" customFormat="1" x14ac:dyDescent="0.35">
      <c r="S38" s="41"/>
    </row>
    <row r="39" spans="19:19" s="40" customFormat="1" x14ac:dyDescent="0.35">
      <c r="S39" s="41"/>
    </row>
    <row r="40" spans="19:19" s="40" customFormat="1" x14ac:dyDescent="0.35">
      <c r="S40" s="41"/>
    </row>
    <row r="41" spans="19:19" s="40" customFormat="1" x14ac:dyDescent="0.35">
      <c r="S41" s="41"/>
    </row>
    <row r="42" spans="19:19" s="40" customFormat="1" x14ac:dyDescent="0.35">
      <c r="S42" s="41"/>
    </row>
  </sheetData>
  <mergeCells count="6">
    <mergeCell ref="B6:B7"/>
    <mergeCell ref="C6:Q6"/>
    <mergeCell ref="R6:R8"/>
    <mergeCell ref="C7:G7"/>
    <mergeCell ref="H7:L7"/>
    <mergeCell ref="M7:Q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B44"/>
  <sheetViews>
    <sheetView workbookViewId="0">
      <selection activeCell="K28" sqref="K28"/>
    </sheetView>
  </sheetViews>
  <sheetFormatPr defaultRowHeight="14.5" x14ac:dyDescent="0.35"/>
  <cols>
    <col min="2" max="2" width="15.81640625" customWidth="1"/>
    <col min="19" max="19" width="2.81640625" style="40" customWidth="1"/>
    <col min="20" max="28" width="9.1796875" style="40"/>
  </cols>
  <sheetData>
    <row r="1" spans="1:18" s="40" customFormat="1" ht="26" x14ac:dyDescent="0.6">
      <c r="A1" s="42" t="s">
        <v>125</v>
      </c>
    </row>
    <row r="2" spans="1:18" s="40" customFormat="1" x14ac:dyDescent="0.35">
      <c r="A2" s="40" t="s">
        <v>0</v>
      </c>
      <c r="B2" s="39">
        <v>2.6</v>
      </c>
      <c r="C2" s="40" t="s">
        <v>344</v>
      </c>
    </row>
    <row r="3" spans="1:18" s="40" customFormat="1" x14ac:dyDescent="0.35">
      <c r="A3" s="44" t="s">
        <v>76</v>
      </c>
      <c r="B3" s="39">
        <v>6</v>
      </c>
      <c r="C3" s="40" t="s">
        <v>345</v>
      </c>
    </row>
    <row r="4" spans="1:18" s="40" customFormat="1" x14ac:dyDescent="0.35"/>
    <row r="5" spans="1:18" s="40" customFormat="1" x14ac:dyDescent="0.35"/>
    <row r="6" spans="1:18" x14ac:dyDescent="0.35">
      <c r="A6" s="40"/>
      <c r="B6" s="208" t="s">
        <v>207</v>
      </c>
      <c r="C6" s="208" t="s">
        <v>208</v>
      </c>
      <c r="D6" s="208"/>
      <c r="E6" s="208"/>
      <c r="F6" s="208"/>
      <c r="G6" s="208"/>
      <c r="H6" s="208"/>
      <c r="I6" s="208"/>
      <c r="J6" s="208"/>
      <c r="K6" s="208"/>
      <c r="L6" s="208"/>
      <c r="M6" s="208"/>
      <c r="N6" s="208"/>
      <c r="O6" s="208"/>
      <c r="P6" s="208"/>
      <c r="Q6" s="208"/>
      <c r="R6" s="208" t="s">
        <v>97</v>
      </c>
    </row>
    <row r="7" spans="1:18" x14ac:dyDescent="0.35">
      <c r="A7" s="40"/>
      <c r="B7" s="208"/>
      <c r="C7" s="208" t="s">
        <v>209</v>
      </c>
      <c r="D7" s="208"/>
      <c r="E7" s="208"/>
      <c r="F7" s="208"/>
      <c r="G7" s="208"/>
      <c r="H7" s="208" t="s">
        <v>210</v>
      </c>
      <c r="I7" s="208"/>
      <c r="J7" s="208"/>
      <c r="K7" s="208"/>
      <c r="L7" s="208"/>
      <c r="M7" s="208" t="s">
        <v>211</v>
      </c>
      <c r="N7" s="208"/>
      <c r="O7" s="208"/>
      <c r="P7" s="208"/>
      <c r="Q7" s="208"/>
      <c r="R7" s="208"/>
    </row>
    <row r="8" spans="1:18" x14ac:dyDescent="0.35">
      <c r="A8" s="40"/>
      <c r="B8" s="15" t="s">
        <v>212</v>
      </c>
      <c r="C8" s="8">
        <v>2015</v>
      </c>
      <c r="D8" s="8">
        <v>2016</v>
      </c>
      <c r="E8" s="8">
        <v>2017</v>
      </c>
      <c r="F8" s="8">
        <v>2018</v>
      </c>
      <c r="G8" s="8">
        <v>2019</v>
      </c>
      <c r="H8" s="8">
        <v>2015</v>
      </c>
      <c r="I8" s="8">
        <v>2016</v>
      </c>
      <c r="J8" s="8">
        <v>2017</v>
      </c>
      <c r="K8" s="8">
        <v>2018</v>
      </c>
      <c r="L8" s="8">
        <v>2019</v>
      </c>
      <c r="M8" s="8">
        <v>2015</v>
      </c>
      <c r="N8" s="8">
        <v>2016</v>
      </c>
      <c r="O8" s="8">
        <v>2017</v>
      </c>
      <c r="P8" s="8">
        <v>2018</v>
      </c>
      <c r="Q8" s="8">
        <v>2019</v>
      </c>
      <c r="R8" s="208"/>
    </row>
    <row r="9" spans="1:18" x14ac:dyDescent="0.35">
      <c r="A9" s="40"/>
      <c r="B9" s="10" t="s">
        <v>213</v>
      </c>
      <c r="C9" s="52" t="s">
        <v>51</v>
      </c>
      <c r="D9" s="52" t="s">
        <v>51</v>
      </c>
      <c r="E9" s="52" t="s">
        <v>51</v>
      </c>
      <c r="F9" s="52" t="s">
        <v>51</v>
      </c>
      <c r="G9" s="52">
        <v>0</v>
      </c>
      <c r="H9" s="52" t="s">
        <v>51</v>
      </c>
      <c r="I9" s="52" t="s">
        <v>51</v>
      </c>
      <c r="J9" s="52" t="s">
        <v>51</v>
      </c>
      <c r="K9" s="52" t="s">
        <v>51</v>
      </c>
      <c r="L9" s="52">
        <v>0</v>
      </c>
      <c r="M9" s="52" t="s">
        <v>51</v>
      </c>
      <c r="N9" s="52" t="s">
        <v>51</v>
      </c>
      <c r="O9" s="52" t="s">
        <v>51</v>
      </c>
      <c r="P9" s="52" t="s">
        <v>51</v>
      </c>
      <c r="Q9" s="52">
        <v>0</v>
      </c>
      <c r="R9" s="54">
        <f>Q9+L9+G9</f>
        <v>0</v>
      </c>
    </row>
    <row r="10" spans="1:18" x14ac:dyDescent="0.35">
      <c r="A10" s="40"/>
      <c r="B10" s="10" t="s">
        <v>214</v>
      </c>
      <c r="C10" s="52" t="s">
        <v>51</v>
      </c>
      <c r="D10" s="52" t="s">
        <v>51</v>
      </c>
      <c r="E10" s="52" t="s">
        <v>51</v>
      </c>
      <c r="F10" s="52" t="s">
        <v>51</v>
      </c>
      <c r="G10" s="52">
        <v>0</v>
      </c>
      <c r="H10" s="52" t="s">
        <v>51</v>
      </c>
      <c r="I10" s="52" t="s">
        <v>51</v>
      </c>
      <c r="J10" s="52" t="s">
        <v>51</v>
      </c>
      <c r="K10" s="52" t="s">
        <v>51</v>
      </c>
      <c r="L10" s="52">
        <v>0</v>
      </c>
      <c r="M10" s="52" t="s">
        <v>51</v>
      </c>
      <c r="N10" s="52" t="s">
        <v>51</v>
      </c>
      <c r="O10" s="52" t="s">
        <v>51</v>
      </c>
      <c r="P10" s="52" t="s">
        <v>51</v>
      </c>
      <c r="Q10" s="52">
        <v>0</v>
      </c>
      <c r="R10" s="54">
        <f t="shared" ref="R10:R14" si="0">Q10+L10+G10</f>
        <v>0</v>
      </c>
    </row>
    <row r="11" spans="1:18" x14ac:dyDescent="0.35">
      <c r="A11" s="40"/>
      <c r="B11" s="10" t="s">
        <v>215</v>
      </c>
      <c r="C11" s="52" t="s">
        <v>51</v>
      </c>
      <c r="D11" s="52" t="s">
        <v>51</v>
      </c>
      <c r="E11" s="52" t="s">
        <v>51</v>
      </c>
      <c r="F11" s="52" t="s">
        <v>51</v>
      </c>
      <c r="G11" s="52">
        <v>0</v>
      </c>
      <c r="H11" s="52" t="s">
        <v>51</v>
      </c>
      <c r="I11" s="52" t="s">
        <v>51</v>
      </c>
      <c r="J11" s="52" t="s">
        <v>51</v>
      </c>
      <c r="K11" s="52" t="s">
        <v>51</v>
      </c>
      <c r="L11" s="52">
        <v>0</v>
      </c>
      <c r="M11" s="52" t="s">
        <v>51</v>
      </c>
      <c r="N11" s="52" t="s">
        <v>51</v>
      </c>
      <c r="O11" s="52" t="s">
        <v>51</v>
      </c>
      <c r="P11" s="52" t="s">
        <v>51</v>
      </c>
      <c r="Q11" s="52">
        <v>0</v>
      </c>
      <c r="R11" s="54">
        <f t="shared" si="0"/>
        <v>0</v>
      </c>
    </row>
    <row r="12" spans="1:18" x14ac:dyDescent="0.35">
      <c r="A12" s="40"/>
      <c r="B12" s="10" t="s">
        <v>216</v>
      </c>
      <c r="C12" s="52" t="s">
        <v>51</v>
      </c>
      <c r="D12" s="52" t="s">
        <v>51</v>
      </c>
      <c r="E12" s="52" t="s">
        <v>51</v>
      </c>
      <c r="F12" s="52" t="s">
        <v>51</v>
      </c>
      <c r="G12" s="52">
        <v>0</v>
      </c>
      <c r="H12" s="52" t="s">
        <v>51</v>
      </c>
      <c r="I12" s="52" t="s">
        <v>51</v>
      </c>
      <c r="J12" s="52" t="s">
        <v>51</v>
      </c>
      <c r="K12" s="52" t="s">
        <v>51</v>
      </c>
      <c r="L12" s="52">
        <v>0</v>
      </c>
      <c r="M12" s="52" t="s">
        <v>51</v>
      </c>
      <c r="N12" s="52" t="s">
        <v>51</v>
      </c>
      <c r="O12" s="52" t="s">
        <v>51</v>
      </c>
      <c r="P12" s="52" t="s">
        <v>51</v>
      </c>
      <c r="Q12" s="52">
        <v>0</v>
      </c>
      <c r="R12" s="54">
        <f t="shared" si="0"/>
        <v>0</v>
      </c>
    </row>
    <row r="13" spans="1:18" x14ac:dyDescent="0.35">
      <c r="A13" s="40"/>
      <c r="B13" s="10" t="s">
        <v>64</v>
      </c>
      <c r="C13" s="52" t="s">
        <v>51</v>
      </c>
      <c r="D13" s="52" t="s">
        <v>51</v>
      </c>
      <c r="E13" s="52" t="s">
        <v>51</v>
      </c>
      <c r="F13" s="52" t="s">
        <v>51</v>
      </c>
      <c r="G13" s="52">
        <v>0</v>
      </c>
      <c r="H13" s="52" t="s">
        <v>51</v>
      </c>
      <c r="I13" s="52" t="s">
        <v>51</v>
      </c>
      <c r="J13" s="52" t="s">
        <v>51</v>
      </c>
      <c r="K13" s="52" t="s">
        <v>51</v>
      </c>
      <c r="L13" s="52">
        <v>0</v>
      </c>
      <c r="M13" s="52" t="s">
        <v>51</v>
      </c>
      <c r="N13" s="52" t="s">
        <v>51</v>
      </c>
      <c r="O13" s="52" t="s">
        <v>51</v>
      </c>
      <c r="P13" s="52" t="s">
        <v>51</v>
      </c>
      <c r="Q13" s="52">
        <v>0</v>
      </c>
      <c r="R13" s="54">
        <f t="shared" si="0"/>
        <v>0</v>
      </c>
    </row>
    <row r="14" spans="1:18" x14ac:dyDescent="0.35">
      <c r="A14" s="40"/>
      <c r="B14" s="10" t="s">
        <v>97</v>
      </c>
      <c r="C14" s="52" t="s">
        <v>51</v>
      </c>
      <c r="D14" s="52" t="s">
        <v>51</v>
      </c>
      <c r="E14" s="52" t="s">
        <v>51</v>
      </c>
      <c r="F14" s="52" t="s">
        <v>51</v>
      </c>
      <c r="G14" s="52">
        <v>0</v>
      </c>
      <c r="H14" s="52" t="s">
        <v>51</v>
      </c>
      <c r="I14" s="52" t="s">
        <v>51</v>
      </c>
      <c r="J14" s="52" t="s">
        <v>51</v>
      </c>
      <c r="K14" s="52" t="s">
        <v>51</v>
      </c>
      <c r="L14" s="52">
        <v>0</v>
      </c>
      <c r="M14" s="52" t="s">
        <v>51</v>
      </c>
      <c r="N14" s="52" t="s">
        <v>51</v>
      </c>
      <c r="O14" s="52" t="s">
        <v>51</v>
      </c>
      <c r="P14" s="52" t="s">
        <v>51</v>
      </c>
      <c r="Q14" s="52">
        <v>0</v>
      </c>
      <c r="R14" s="54">
        <f t="shared" si="0"/>
        <v>0</v>
      </c>
    </row>
    <row r="15" spans="1:18" s="40" customFormat="1" x14ac:dyDescent="0.35"/>
    <row r="16" spans="1:18" s="40" customFormat="1" x14ac:dyDescent="0.35"/>
    <row r="17" s="40" customFormat="1" x14ac:dyDescent="0.35"/>
    <row r="18" s="40" customFormat="1" x14ac:dyDescent="0.35"/>
    <row r="19" s="40" customFormat="1" x14ac:dyDescent="0.35"/>
    <row r="20" s="40" customFormat="1" x14ac:dyDescent="0.35"/>
    <row r="21" s="40" customFormat="1" x14ac:dyDescent="0.35"/>
    <row r="22" s="40" customFormat="1" x14ac:dyDescent="0.35"/>
    <row r="23" s="40" customFormat="1" x14ac:dyDescent="0.35"/>
    <row r="24" s="40" customFormat="1" x14ac:dyDescent="0.35"/>
    <row r="25" s="40" customFormat="1" x14ac:dyDescent="0.35"/>
    <row r="26" s="40" customFormat="1" x14ac:dyDescent="0.35"/>
    <row r="27" s="40" customFormat="1" x14ac:dyDescent="0.35"/>
    <row r="28" s="40" customFormat="1" x14ac:dyDescent="0.35"/>
    <row r="29" s="40" customFormat="1" x14ac:dyDescent="0.35"/>
    <row r="30" s="40" customFormat="1" x14ac:dyDescent="0.35"/>
    <row r="31" s="40" customFormat="1" x14ac:dyDescent="0.35"/>
    <row r="32" s="40" customFormat="1" x14ac:dyDescent="0.35"/>
    <row r="33" s="40" customFormat="1" x14ac:dyDescent="0.35"/>
    <row r="34" s="40" customFormat="1" x14ac:dyDescent="0.35"/>
    <row r="35" s="40" customFormat="1" x14ac:dyDescent="0.35"/>
    <row r="36" s="40" customFormat="1" x14ac:dyDescent="0.35"/>
    <row r="37" s="40" customFormat="1" x14ac:dyDescent="0.35"/>
    <row r="38" s="40" customFormat="1" x14ac:dyDescent="0.35"/>
    <row r="39" s="40" customFormat="1" x14ac:dyDescent="0.35"/>
    <row r="40" s="40" customFormat="1" x14ac:dyDescent="0.35"/>
    <row r="41" s="40" customFormat="1" x14ac:dyDescent="0.35"/>
    <row r="42" s="40" customFormat="1" x14ac:dyDescent="0.35"/>
    <row r="43" s="40" customFormat="1" x14ac:dyDescent="0.35"/>
    <row r="44" s="40" customFormat="1" x14ac:dyDescent="0.35"/>
  </sheetData>
  <mergeCells count="6">
    <mergeCell ref="B6:B7"/>
    <mergeCell ref="C6:Q6"/>
    <mergeCell ref="R6:R8"/>
    <mergeCell ref="C7:G7"/>
    <mergeCell ref="H7:L7"/>
    <mergeCell ref="M7:Q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G34"/>
  <sheetViews>
    <sheetView workbookViewId="0">
      <selection activeCell="D31" sqref="D31"/>
    </sheetView>
  </sheetViews>
  <sheetFormatPr defaultRowHeight="14.5" x14ac:dyDescent="0.35"/>
  <cols>
    <col min="1" max="1" width="9.1796875" style="40"/>
    <col min="2" max="8" width="26.453125" customWidth="1"/>
    <col min="9" max="9" width="4.1796875" style="40" customWidth="1"/>
    <col min="10" max="59" width="9.1796875" style="40"/>
  </cols>
  <sheetData>
    <row r="1" spans="1:8" s="40" customFormat="1" ht="26" x14ac:dyDescent="0.6">
      <c r="A1" s="42" t="s">
        <v>125</v>
      </c>
    </row>
    <row r="2" spans="1:8" s="40" customFormat="1" x14ac:dyDescent="0.35">
      <c r="A2" s="40" t="s">
        <v>0</v>
      </c>
      <c r="B2" s="39">
        <v>2.6</v>
      </c>
      <c r="C2" s="40" t="s">
        <v>344</v>
      </c>
    </row>
    <row r="3" spans="1:8" s="40" customFormat="1" x14ac:dyDescent="0.35">
      <c r="A3" s="44" t="s">
        <v>76</v>
      </c>
      <c r="B3" s="39">
        <v>7</v>
      </c>
      <c r="C3" s="40" t="s">
        <v>52</v>
      </c>
    </row>
    <row r="4" spans="1:8" s="40" customFormat="1" x14ac:dyDescent="0.35"/>
    <row r="5" spans="1:8" s="40" customFormat="1" x14ac:dyDescent="0.35"/>
    <row r="6" spans="1:8" ht="21" x14ac:dyDescent="0.35">
      <c r="B6" s="14" t="s">
        <v>218</v>
      </c>
      <c r="C6" s="14" t="s">
        <v>219</v>
      </c>
      <c r="D6" s="14" t="s">
        <v>220</v>
      </c>
      <c r="E6" s="14" t="s">
        <v>221</v>
      </c>
      <c r="F6" s="14" t="s">
        <v>222</v>
      </c>
      <c r="G6" s="14" t="s">
        <v>223</v>
      </c>
      <c r="H6" s="14" t="s">
        <v>113</v>
      </c>
    </row>
    <row r="7" spans="1:8" ht="21" x14ac:dyDescent="0.35">
      <c r="B7" s="137" t="s">
        <v>762</v>
      </c>
      <c r="C7" s="137" t="s">
        <v>763</v>
      </c>
      <c r="D7" s="137" t="s">
        <v>764</v>
      </c>
      <c r="E7" s="137" t="s">
        <v>765</v>
      </c>
      <c r="F7" s="137" t="s">
        <v>51</v>
      </c>
      <c r="G7" s="137" t="s">
        <v>766</v>
      </c>
      <c r="H7" s="138"/>
    </row>
    <row r="8" spans="1:8" x14ac:dyDescent="0.35">
      <c r="B8" s="137" t="s">
        <v>767</v>
      </c>
      <c r="C8" s="137" t="s">
        <v>69</v>
      </c>
      <c r="D8" s="137" t="s">
        <v>768</v>
      </c>
      <c r="E8" s="137" t="s">
        <v>769</v>
      </c>
      <c r="F8" s="137" t="s">
        <v>51</v>
      </c>
      <c r="G8" s="137" t="s">
        <v>51</v>
      </c>
      <c r="H8" s="138"/>
    </row>
    <row r="9" spans="1:8" ht="21" x14ac:dyDescent="0.35">
      <c r="B9" s="137" t="s">
        <v>770</v>
      </c>
      <c r="C9" s="137" t="s">
        <v>771</v>
      </c>
      <c r="D9" s="137" t="s">
        <v>768</v>
      </c>
      <c r="E9" s="137" t="s">
        <v>772</v>
      </c>
      <c r="F9" s="137" t="s">
        <v>51</v>
      </c>
      <c r="G9" s="137" t="s">
        <v>51</v>
      </c>
      <c r="H9" s="138"/>
    </row>
    <row r="10" spans="1:8" ht="21" x14ac:dyDescent="0.35">
      <c r="B10" s="137" t="s">
        <v>773</v>
      </c>
      <c r="C10" s="137" t="s">
        <v>774</v>
      </c>
      <c r="D10" s="137" t="s">
        <v>768</v>
      </c>
      <c r="E10" s="137" t="s">
        <v>775</v>
      </c>
      <c r="F10" s="137" t="s">
        <v>51</v>
      </c>
      <c r="G10" s="137" t="s">
        <v>776</v>
      </c>
      <c r="H10" s="138"/>
    </row>
    <row r="11" spans="1:8" s="40" customFormat="1" x14ac:dyDescent="0.35"/>
    <row r="12" spans="1:8" s="40" customFormat="1" x14ac:dyDescent="0.35"/>
    <row r="13" spans="1:8" s="40" customFormat="1" x14ac:dyDescent="0.35"/>
    <row r="14" spans="1:8" s="40" customFormat="1" x14ac:dyDescent="0.35"/>
    <row r="15" spans="1:8" s="40" customFormat="1" x14ac:dyDescent="0.35"/>
    <row r="16" spans="1:8" s="40" customFormat="1" x14ac:dyDescent="0.35"/>
    <row r="17" s="40" customFormat="1" x14ac:dyDescent="0.35"/>
    <row r="18" s="40" customFormat="1" x14ac:dyDescent="0.35"/>
    <row r="19" s="40" customFormat="1" x14ac:dyDescent="0.35"/>
    <row r="20" s="40" customFormat="1" x14ac:dyDescent="0.35"/>
    <row r="21" s="40" customFormat="1" x14ac:dyDescent="0.35"/>
    <row r="22" s="40" customFormat="1" x14ac:dyDescent="0.35"/>
    <row r="23" s="40" customFormat="1" x14ac:dyDescent="0.35"/>
    <row r="24" s="40" customFormat="1" x14ac:dyDescent="0.35"/>
    <row r="25" s="40" customFormat="1" x14ac:dyDescent="0.35"/>
    <row r="26" s="40" customFormat="1" x14ac:dyDescent="0.35"/>
    <row r="27" s="40" customFormat="1" x14ac:dyDescent="0.35"/>
    <row r="28" s="40" customFormat="1" x14ac:dyDescent="0.35"/>
    <row r="29" s="40" customFormat="1" x14ac:dyDescent="0.35"/>
    <row r="30" s="40" customFormat="1" x14ac:dyDescent="0.35"/>
    <row r="31" s="40" customFormat="1" x14ac:dyDescent="0.35"/>
    <row r="32" s="40" customFormat="1" x14ac:dyDescent="0.35"/>
    <row r="33" s="40" customFormat="1" x14ac:dyDescent="0.35"/>
    <row r="34" s="40" customFormat="1" x14ac:dyDescent="0.3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50"/>
  <sheetViews>
    <sheetView workbookViewId="0">
      <selection activeCell="F21" sqref="F21"/>
    </sheetView>
  </sheetViews>
  <sheetFormatPr defaultRowHeight="14.5" x14ac:dyDescent="0.35"/>
  <cols>
    <col min="1" max="1" width="9.1796875" style="40"/>
    <col min="2" max="2" width="14.81640625" customWidth="1"/>
    <col min="3" max="3" width="39.54296875" customWidth="1"/>
    <col min="4" max="4" width="37" customWidth="1"/>
    <col min="5" max="5" width="12.7265625" customWidth="1"/>
    <col min="6" max="6" width="21.26953125" customWidth="1"/>
    <col min="7" max="7" width="23.81640625" customWidth="1"/>
    <col min="8" max="8" width="2.81640625" style="40" customWidth="1"/>
    <col min="9" max="16" width="9.1796875" style="40"/>
  </cols>
  <sheetData>
    <row r="1" spans="1:7" s="40" customFormat="1" ht="26" x14ac:dyDescent="0.6">
      <c r="A1" s="42" t="s">
        <v>125</v>
      </c>
    </row>
    <row r="2" spans="1:7" s="40" customFormat="1" x14ac:dyDescent="0.35">
      <c r="A2" s="40" t="s">
        <v>0</v>
      </c>
      <c r="B2" s="39">
        <v>2.7</v>
      </c>
      <c r="C2" s="40" t="s">
        <v>92</v>
      </c>
    </row>
    <row r="3" spans="1:7" s="40" customFormat="1" x14ac:dyDescent="0.35">
      <c r="A3" s="44" t="s">
        <v>76</v>
      </c>
      <c r="B3" s="39">
        <v>8</v>
      </c>
      <c r="C3" s="40" t="s">
        <v>346</v>
      </c>
    </row>
    <row r="4" spans="1:7" s="40" customFormat="1" x14ac:dyDescent="0.35"/>
    <row r="5" spans="1:7" s="40" customFormat="1" x14ac:dyDescent="0.35"/>
    <row r="6" spans="1:7" s="40" customFormat="1" x14ac:dyDescent="0.35"/>
    <row r="7" spans="1:7" ht="26" x14ac:dyDescent="0.35">
      <c r="A7" s="155"/>
      <c r="B7" s="17" t="s">
        <v>224</v>
      </c>
      <c r="C7" s="18" t="s">
        <v>225</v>
      </c>
      <c r="D7" s="18" t="s">
        <v>226</v>
      </c>
      <c r="E7" s="18" t="s">
        <v>236</v>
      </c>
      <c r="F7" s="85" t="s">
        <v>618</v>
      </c>
      <c r="G7" s="85" t="s">
        <v>619</v>
      </c>
    </row>
    <row r="8" spans="1:7" s="40" customFormat="1" ht="26" x14ac:dyDescent="0.35">
      <c r="A8" s="231"/>
      <c r="B8" s="234" t="s">
        <v>87</v>
      </c>
      <c r="C8" s="147" t="s">
        <v>232</v>
      </c>
      <c r="D8" s="147" t="s">
        <v>227</v>
      </c>
      <c r="E8" s="233">
        <v>6.1</v>
      </c>
      <c r="F8" s="157" t="s">
        <v>620</v>
      </c>
      <c r="G8" s="157" t="s">
        <v>621</v>
      </c>
    </row>
    <row r="9" spans="1:7" s="40" customFormat="1" ht="39" x14ac:dyDescent="0.35">
      <c r="A9" s="232"/>
      <c r="B9" s="235"/>
      <c r="C9" s="147" t="s">
        <v>233</v>
      </c>
      <c r="D9" s="147" t="s">
        <v>228</v>
      </c>
      <c r="E9" s="233"/>
      <c r="F9" s="157" t="s">
        <v>620</v>
      </c>
      <c r="G9" s="157" t="s">
        <v>622</v>
      </c>
    </row>
    <row r="10" spans="1:7" s="40" customFormat="1" ht="39" x14ac:dyDescent="0.35">
      <c r="A10" s="156"/>
      <c r="B10" s="147" t="s">
        <v>88</v>
      </c>
      <c r="C10" s="147" t="s">
        <v>234</v>
      </c>
      <c r="D10" s="147" t="s">
        <v>229</v>
      </c>
      <c r="E10" s="157">
        <v>6.2</v>
      </c>
      <c r="F10" s="157" t="s">
        <v>620</v>
      </c>
      <c r="G10" s="157" t="s">
        <v>623</v>
      </c>
    </row>
    <row r="11" spans="1:7" s="40" customFormat="1" ht="26" x14ac:dyDescent="0.35">
      <c r="A11" s="156"/>
      <c r="B11" s="147" t="s">
        <v>230</v>
      </c>
      <c r="C11" s="147" t="s">
        <v>235</v>
      </c>
      <c r="D11" s="147" t="s">
        <v>231</v>
      </c>
      <c r="E11" s="157">
        <v>6.3</v>
      </c>
      <c r="F11" s="157" t="s">
        <v>856</v>
      </c>
      <c r="G11" s="157" t="s">
        <v>857</v>
      </c>
    </row>
    <row r="12" spans="1:7" s="40" customFormat="1" x14ac:dyDescent="0.35"/>
    <row r="13" spans="1:7" s="40" customFormat="1" x14ac:dyDescent="0.35"/>
    <row r="14" spans="1:7" s="40" customFormat="1" x14ac:dyDescent="0.35"/>
    <row r="15" spans="1:7" s="40" customFormat="1" x14ac:dyDescent="0.35"/>
    <row r="16" spans="1:7" s="40" customFormat="1" x14ac:dyDescent="0.35"/>
    <row r="17" s="40" customFormat="1" x14ac:dyDescent="0.35"/>
    <row r="18" s="40" customFormat="1" x14ac:dyDescent="0.35"/>
    <row r="19" s="40" customFormat="1" x14ac:dyDescent="0.35"/>
    <row r="20" s="40" customFormat="1" x14ac:dyDescent="0.35"/>
    <row r="21" s="40" customFormat="1" x14ac:dyDescent="0.35"/>
    <row r="22" s="40" customFormat="1" x14ac:dyDescent="0.35"/>
    <row r="23" s="40" customFormat="1" x14ac:dyDescent="0.35"/>
    <row r="24" s="40" customFormat="1" x14ac:dyDescent="0.35"/>
    <row r="25" s="40" customFormat="1" x14ac:dyDescent="0.35"/>
    <row r="26" s="40" customFormat="1" x14ac:dyDescent="0.35"/>
    <row r="27" s="40" customFormat="1" x14ac:dyDescent="0.35"/>
    <row r="28" s="40" customFormat="1" x14ac:dyDescent="0.35"/>
    <row r="29" s="40" customFormat="1" x14ac:dyDescent="0.35"/>
    <row r="30" s="40" customFormat="1" x14ac:dyDescent="0.35"/>
    <row r="31" s="40" customFormat="1" x14ac:dyDescent="0.35"/>
    <row r="32" s="40" customFormat="1" x14ac:dyDescent="0.35"/>
    <row r="33" s="40" customFormat="1" x14ac:dyDescent="0.35"/>
    <row r="34" s="40" customFormat="1" x14ac:dyDescent="0.35"/>
    <row r="35" s="40" customFormat="1" x14ac:dyDescent="0.35"/>
    <row r="36" s="40" customFormat="1" x14ac:dyDescent="0.35"/>
    <row r="37" s="40" customFormat="1" x14ac:dyDescent="0.35"/>
    <row r="38" s="40" customFormat="1" x14ac:dyDescent="0.35"/>
    <row r="39" s="40" customFormat="1" x14ac:dyDescent="0.35"/>
    <row r="40" s="40" customFormat="1" x14ac:dyDescent="0.35"/>
    <row r="41" s="40" customFormat="1" x14ac:dyDescent="0.35"/>
    <row r="42" s="40" customFormat="1" x14ac:dyDescent="0.35"/>
    <row r="43" s="40" customFormat="1" x14ac:dyDescent="0.35"/>
    <row r="44" s="40" customFormat="1" x14ac:dyDescent="0.35"/>
    <row r="45" s="40" customFormat="1" x14ac:dyDescent="0.35"/>
    <row r="46" s="40" customFormat="1" x14ac:dyDescent="0.35"/>
    <row r="47" s="40" customFormat="1" x14ac:dyDescent="0.35"/>
    <row r="48" s="40" customFormat="1" x14ac:dyDescent="0.35"/>
    <row r="49" s="40" customFormat="1" x14ac:dyDescent="0.35"/>
    <row r="50" s="40" customFormat="1" x14ac:dyDescent="0.35"/>
  </sheetData>
  <mergeCells count="3">
    <mergeCell ref="A8:A9"/>
    <mergeCell ref="E8:E9"/>
    <mergeCell ref="B8: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vt:i4>
      </vt:variant>
    </vt:vector>
  </HeadingPairs>
  <TitlesOfParts>
    <vt:vector size="36" baseType="lpstr">
      <vt:lpstr>Cover Sheet</vt:lpstr>
      <vt:lpstr>Table 1</vt:lpstr>
      <vt:lpstr>Table 2</vt:lpstr>
      <vt:lpstr>Table 3</vt:lpstr>
      <vt:lpstr>Table 4</vt:lpstr>
      <vt:lpstr>Table 5</vt:lpstr>
      <vt:lpstr>Table 6</vt:lpstr>
      <vt:lpstr>Table 7</vt:lpstr>
      <vt:lpstr>Table 8</vt:lpstr>
      <vt:lpstr>Table 9</vt:lpstr>
      <vt:lpstr>Table 10</vt:lpstr>
      <vt:lpstr>Table 11a-d</vt:lpstr>
      <vt:lpstr>Table 12</vt:lpstr>
      <vt:lpstr>Table 13</vt:lpstr>
      <vt:lpstr>Table 14</vt:lpstr>
      <vt:lpstr>Table 15</vt:lpstr>
      <vt:lpstr>Table 16</vt:lpstr>
      <vt:lpstr>Table 17</vt:lpstr>
      <vt:lpstr>Table 18-18d</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4'!_ftn1</vt:lpstr>
      <vt:lpstr>'Table 4'!_ftnref1</vt:lpstr>
      <vt:lpstr>'Table 4'!_GoBack</vt:lpstr>
      <vt:lpstr>'Table 13'!_Toc28087895</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McCluskey, Amy</dc:creator>
  <cp:lastModifiedBy>Penfield, Mary</cp:lastModifiedBy>
  <dcterms:created xsi:type="dcterms:W3CDTF">2019-12-26T16:24:38Z</dcterms:created>
  <dcterms:modified xsi:type="dcterms:W3CDTF">2020-02-07T21:02:51Z</dcterms:modified>
</cp:coreProperties>
</file>